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" activeTab="7"/>
  </bookViews>
  <sheets>
    <sheet name="СОВ нар становая тяга" sheetId="1" r:id="rId1"/>
    <sheet name="Люб. народный жим 1 вес" sheetId="2" r:id="rId2"/>
    <sheet name="Пауэрспорт Любители" sheetId="3" r:id="rId3"/>
    <sheet name="Бицепс Любители" sheetId="4" r:id="rId4"/>
    <sheet name="Русская тяга проф. 200 кг." sheetId="5" r:id="rId5"/>
    <sheet name="Русская тяга люб. 150 кг." sheetId="6" r:id="rId6"/>
    <sheet name="Русская тяга люб. 75 кг." sheetId="7" r:id="rId7"/>
    <sheet name="Русская тяга люб. 55 кг." sheetId="8" r:id="rId8"/>
    <sheet name="РЖ любители 35 кг." sheetId="9" r:id="rId9"/>
    <sheet name="РЖ Проф 75 кг." sheetId="10" r:id="rId10"/>
    <sheet name="Двоеборье люб" sheetId="11" r:id="rId11"/>
    <sheet name="ПРО тяга б.э." sheetId="12" r:id="rId12"/>
    <sheet name="Люб. тяга б.э." sheetId="13" r:id="rId13"/>
    <sheet name="Жимовое двоеборье люб" sheetId="14" r:id="rId14"/>
    <sheet name="ПРО жим 1 петельная" sheetId="15" r:id="rId15"/>
    <sheet name="ПРО жим б.э." sheetId="16" r:id="rId16"/>
    <sheet name="Люб. жим б.э." sheetId="17" r:id="rId17"/>
    <sheet name="СОВ жим" sheetId="18" r:id="rId18"/>
    <sheet name="ПРО Военный жим" sheetId="19" r:id="rId19"/>
    <sheet name="СОВ. Военный жим" sheetId="20" r:id="rId20"/>
    <sheet name="ПРО ПЛ. б.э." sheetId="21" r:id="rId21"/>
    <sheet name="Люб. ПЛ. б.э." sheetId="22" r:id="rId22"/>
  </sheets>
  <definedNames/>
  <calcPr fullCalcOnLoad="1"/>
</workbook>
</file>

<file path=xl/sharedStrings.xml><?xml version="1.0" encoding="utf-8"?>
<sst xmlns="http://schemas.openxmlformats.org/spreadsheetml/2006/main" count="1387" uniqueCount="429">
  <si>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</si>
  <si>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</si>
  <si>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</si>
  <si>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</si>
  <si>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</si>
  <si>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</si>
  <si>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</si>
  <si>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</si>
  <si>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</si>
  <si>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Гран-при России по пауэрлифтингу
Любители пауэрлифтинг без экипировки
Курск/Курская область 26 - 27 октября 2019 г.</t>
  </si>
  <si>
    <t>Shv/Mel</t>
  </si>
  <si>
    <t>Приседание</t>
  </si>
  <si>
    <t>Жим лёжа</t>
  </si>
  <si>
    <t>Становая тяга</t>
  </si>
  <si>
    <t>ВЕСОВАЯ КАТЕГОРИЯ   52</t>
  </si>
  <si>
    <t>1. Шевченко Екатерина</t>
  </si>
  <si>
    <t>Открытая (07.07.1995)/24</t>
  </si>
  <si>
    <t>51,95</t>
  </si>
  <si>
    <t xml:space="preserve">Академия силы </t>
  </si>
  <si>
    <t xml:space="preserve">Курчатов/Курская область </t>
  </si>
  <si>
    <t>70,0</t>
  </si>
  <si>
    <t>75,0</t>
  </si>
  <si>
    <t>82,5</t>
  </si>
  <si>
    <t>42,5</t>
  </si>
  <si>
    <t>45,0</t>
  </si>
  <si>
    <t>47,5</t>
  </si>
  <si>
    <t>85,0</t>
  </si>
  <si>
    <t>92,5</t>
  </si>
  <si>
    <t>102,5</t>
  </si>
  <si>
    <t xml:space="preserve">Меркулов Виталий Валерьевич </t>
  </si>
  <si>
    <t>ВЕСОВАЯ КАТЕГОРИЯ   60</t>
  </si>
  <si>
    <t>1. Варданян Кристина</t>
  </si>
  <si>
    <t>Открытая (23.06.1986)/33</t>
  </si>
  <si>
    <t>59,90</t>
  </si>
  <si>
    <t xml:space="preserve">Brutal Gym </t>
  </si>
  <si>
    <t xml:space="preserve">Курск/Курская область </t>
  </si>
  <si>
    <t>77,5</t>
  </si>
  <si>
    <t>40,0</t>
  </si>
  <si>
    <t>80,0</t>
  </si>
  <si>
    <t>ВЕСОВАЯ КАТЕГОРИЯ   67.5</t>
  </si>
  <si>
    <t>1. Дудакова Анастасия</t>
  </si>
  <si>
    <t>Юниорки 20 - 23 (27.12.1995)/23</t>
  </si>
  <si>
    <t>66,35</t>
  </si>
  <si>
    <t>95,0</t>
  </si>
  <si>
    <t>97,5</t>
  </si>
  <si>
    <t>60,0</t>
  </si>
  <si>
    <t>62,5</t>
  </si>
  <si>
    <t>105,0</t>
  </si>
  <si>
    <t>112,5</t>
  </si>
  <si>
    <t>ВЕСОВАЯ КАТЕГОРИЯ   90</t>
  </si>
  <si>
    <t>1. Алтунина Татьяна</t>
  </si>
  <si>
    <t>Открытая (28.05.1992)/27</t>
  </si>
  <si>
    <t>87,50</t>
  </si>
  <si>
    <t xml:space="preserve">лично </t>
  </si>
  <si>
    <t xml:space="preserve">Брянск/Брянская область </t>
  </si>
  <si>
    <t>90,0</t>
  </si>
  <si>
    <t>100,0</t>
  </si>
  <si>
    <t>50,0</t>
  </si>
  <si>
    <t>130,0</t>
  </si>
  <si>
    <t>142,5</t>
  </si>
  <si>
    <t xml:space="preserve">Ширков Максим Сергеевич </t>
  </si>
  <si>
    <t>Никулин Алексей</t>
  </si>
  <si>
    <t>1. Никулин Алексей</t>
  </si>
  <si>
    <t>Открытая (23.09.1990)/29</t>
  </si>
  <si>
    <t>66,65</t>
  </si>
  <si>
    <t>150,0</t>
  </si>
  <si>
    <t>155,0</t>
  </si>
  <si>
    <t>190,0</t>
  </si>
  <si>
    <t>200,0</t>
  </si>
  <si>
    <t>205,0</t>
  </si>
  <si>
    <t>ВЕСОВАЯ КАТЕГОРИЯ   82.5</t>
  </si>
  <si>
    <t>1. Мирзоян Артур</t>
  </si>
  <si>
    <t>Юноши 14-15 (25.11.2004)/14</t>
  </si>
  <si>
    <t>78,25</t>
  </si>
  <si>
    <t>140,0</t>
  </si>
  <si>
    <t>162,5</t>
  </si>
  <si>
    <t xml:space="preserve">Меркулов Виталий </t>
  </si>
  <si>
    <t>1. Павликов Денис</t>
  </si>
  <si>
    <t>Юноши 18 - 19 (24.05.2001)/18</t>
  </si>
  <si>
    <t>88,90</t>
  </si>
  <si>
    <t>110,0</t>
  </si>
  <si>
    <t>115,0</t>
  </si>
  <si>
    <t>125,0</t>
  </si>
  <si>
    <t>1. Дудников Евгений</t>
  </si>
  <si>
    <t>Открытая (17.07.1989)/30</t>
  </si>
  <si>
    <t>86,50</t>
  </si>
  <si>
    <t>120,0</t>
  </si>
  <si>
    <t>127,5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</si>
  <si>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</si>
  <si>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</si>
  <si>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</si>
  <si>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</si>
  <si>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</si>
  <si>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</si>
  <si>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</si>
  <si>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</si>
  <si>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</si>
  <si>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</si>
  <si>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</si>
  <si>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67.5</t>
  </si>
  <si>
    <t xml:space="preserve">Открытая </t>
  </si>
  <si>
    <t>90</t>
  </si>
  <si>
    <t>275,0</t>
  </si>
  <si>
    <t>60</t>
  </si>
  <si>
    <t xml:space="preserve">Мужчины </t>
  </si>
  <si>
    <t>82.5</t>
  </si>
  <si>
    <t>Гран-при России по пауэрлифтингу
ПРО пауэрлифтинг без экипировки
Курск/Курская область 26 - 27 октября 2019 г.</t>
  </si>
  <si>
    <t>1. Беглов Юрий</t>
  </si>
  <si>
    <t>Мастера 50 - 54 (06.05.1965)/54</t>
  </si>
  <si>
    <t>78,30</t>
  </si>
  <si>
    <t xml:space="preserve">Авалон </t>
  </si>
  <si>
    <t xml:space="preserve">Воронеж/Воронежская область </t>
  </si>
  <si>
    <t>180,0</t>
  </si>
  <si>
    <t>192,5</t>
  </si>
  <si>
    <t>122,5</t>
  </si>
  <si>
    <t>220,0</t>
  </si>
  <si>
    <t>237,5</t>
  </si>
  <si>
    <t xml:space="preserve">Самостоятельно </t>
  </si>
  <si>
    <t>ВЕСОВАЯ КАТЕГОРИЯ   100</t>
  </si>
  <si>
    <t>1. Косинов Сергей</t>
  </si>
  <si>
    <t>Открытая (18.01.1994)/25</t>
  </si>
  <si>
    <t>91,00</t>
  </si>
  <si>
    <t>100</t>
  </si>
  <si>
    <t>Результат</t>
  </si>
  <si>
    <t>Гран-при России по пауэрлифтингу
ПРО военный жим
Курск/Курская область 26 - 27 октября 2019 г.</t>
  </si>
  <si>
    <t>1. Минкаиров Максим</t>
  </si>
  <si>
    <t>Открытая (15.06.1990)/29</t>
  </si>
  <si>
    <t>79,75</t>
  </si>
  <si>
    <t xml:space="preserve">West Gym </t>
  </si>
  <si>
    <t xml:space="preserve">Локтионова Илия </t>
  </si>
  <si>
    <t>1. Ронкин Михаил</t>
  </si>
  <si>
    <t>Мастера 55 - 59 (13.11.1961)/57</t>
  </si>
  <si>
    <t>86,00</t>
  </si>
  <si>
    <t>ВЕСОВАЯ КАТЕГОРИЯ   110</t>
  </si>
  <si>
    <t>1. Михеев Вадим</t>
  </si>
  <si>
    <t>Мастера 50 - 54 (21.04.1966)/53</t>
  </si>
  <si>
    <t>107,40</t>
  </si>
  <si>
    <t>110</t>
  </si>
  <si>
    <t>Гран-при России по пауэрлифтингу
СОВ жим лежа
Курск/Курская область 26 - 27 октября 2019 г.</t>
  </si>
  <si>
    <t>1. Акатов Игорь</t>
  </si>
  <si>
    <t>Мастера 55 - 59 (02.11.1960)/58</t>
  </si>
  <si>
    <t>82,35</t>
  </si>
  <si>
    <t>Гран-при России по пауэрлифтингу
Любители жим лежа без экипировки
Курск/Курская область 26 - 27 октября 2019 г.</t>
  </si>
  <si>
    <t>1. Руднева Марина</t>
  </si>
  <si>
    <t>Открытая (26.07.1990)/29</t>
  </si>
  <si>
    <t>51,60</t>
  </si>
  <si>
    <t xml:space="preserve">Карякин Виталий Владимирович </t>
  </si>
  <si>
    <t>ВЕСОВАЯ КАТЕГОРИЯ   56</t>
  </si>
  <si>
    <t>1. Беседина Илона</t>
  </si>
  <si>
    <t>Открытая (18.09.1986)/33</t>
  </si>
  <si>
    <t>55,30</t>
  </si>
  <si>
    <t>52,5</t>
  </si>
  <si>
    <t>57,5</t>
  </si>
  <si>
    <t>1. Гостева Валентина</t>
  </si>
  <si>
    <t>Мастера 60 - 64 (07.08.1955)/64</t>
  </si>
  <si>
    <t>57,00</t>
  </si>
  <si>
    <t xml:space="preserve">Медведь </t>
  </si>
  <si>
    <t>65,0</t>
  </si>
  <si>
    <t xml:space="preserve">Дородных Владимир Николаевич </t>
  </si>
  <si>
    <t>1. Кельина Татьяна</t>
  </si>
  <si>
    <t>Открытая (25.03.1985)/34</t>
  </si>
  <si>
    <t>64,65</t>
  </si>
  <si>
    <t>67,5</t>
  </si>
  <si>
    <t>1. Хващинская Ирина</t>
  </si>
  <si>
    <t>Мастера 45 - 49 (13.11.1971)/47</t>
  </si>
  <si>
    <t>66,55</t>
  </si>
  <si>
    <t>1. Аболмасов Никита</t>
  </si>
  <si>
    <t>Юноши 16 - 17 (26.10.2003)/16</t>
  </si>
  <si>
    <t>55,65</t>
  </si>
  <si>
    <t xml:space="preserve">Щигры/Курская область </t>
  </si>
  <si>
    <t xml:space="preserve">Рубцов Сергей Иванович </t>
  </si>
  <si>
    <t>ВЕСОВАЯ КАТЕГОРИЯ   75</t>
  </si>
  <si>
    <t>Суздалев Арсений</t>
  </si>
  <si>
    <t>1. Суздалев Арсений</t>
  </si>
  <si>
    <t>Открытая (26.04.1995)/24</t>
  </si>
  <si>
    <t>72,20</t>
  </si>
  <si>
    <t>107,5</t>
  </si>
  <si>
    <t>-. Парамонов Илья</t>
  </si>
  <si>
    <t>Открытая (20.09.1995)/24</t>
  </si>
  <si>
    <t>74,30</t>
  </si>
  <si>
    <t xml:space="preserve">Шашков Алексей </t>
  </si>
  <si>
    <t>Акатов Михаил</t>
  </si>
  <si>
    <t>1. Акатов Михаил</t>
  </si>
  <si>
    <t>Юниоры 20 - 23 (08.11.1996)/22</t>
  </si>
  <si>
    <t>82,45</t>
  </si>
  <si>
    <t>137,5</t>
  </si>
  <si>
    <t>147,5</t>
  </si>
  <si>
    <t xml:space="preserve">Акатов Игорь Павлович </t>
  </si>
  <si>
    <t>Рюмшин Вадим</t>
  </si>
  <si>
    <t>1. Рюмшин Вадим</t>
  </si>
  <si>
    <t>Юниоры 20 - 23 (03.04.1997)/22</t>
  </si>
  <si>
    <t>88,55</t>
  </si>
  <si>
    <t>157,5</t>
  </si>
  <si>
    <t xml:space="preserve">Ковалев Андрей </t>
  </si>
  <si>
    <t>Обухов Игорь</t>
  </si>
  <si>
    <t>1. Обухов Игорь</t>
  </si>
  <si>
    <t>Открытая (07.11.1990)/28</t>
  </si>
  <si>
    <t>88,15</t>
  </si>
  <si>
    <t>160,0</t>
  </si>
  <si>
    <t>165,0</t>
  </si>
  <si>
    <t>170,0</t>
  </si>
  <si>
    <t>Панков Борис</t>
  </si>
  <si>
    <t>2. Панков Борис</t>
  </si>
  <si>
    <t>Открытая (26.04.1993)/26</t>
  </si>
  <si>
    <t>90,00</t>
  </si>
  <si>
    <t xml:space="preserve">Скобелево/Тульская область </t>
  </si>
  <si>
    <t xml:space="preserve">Кузьмин Сергей </t>
  </si>
  <si>
    <t>-. Алябьев Александр</t>
  </si>
  <si>
    <t>Открытая (23.06.1992)/27</t>
  </si>
  <si>
    <t>89,05</t>
  </si>
  <si>
    <t xml:space="preserve">Фатеж/Курская область </t>
  </si>
  <si>
    <t>-. Уколов Артем</t>
  </si>
  <si>
    <t>Открытая (11.12.1990)/28</t>
  </si>
  <si>
    <t>89,15</t>
  </si>
  <si>
    <t xml:space="preserve">Белгород/Белгородская область </t>
  </si>
  <si>
    <t>1. Мурачев Владимир</t>
  </si>
  <si>
    <t>Мастера 40 - 44 (04.11.1977)/41</t>
  </si>
  <si>
    <t>86,60</t>
  </si>
  <si>
    <t>135,0</t>
  </si>
  <si>
    <t xml:space="preserve">Ковалев Андрей Михайлович </t>
  </si>
  <si>
    <t>Прилепский Антон</t>
  </si>
  <si>
    <t>1. Прилепский Антон</t>
  </si>
  <si>
    <t>Юниоры 20 - 23 (28.05.1998)/21</t>
  </si>
  <si>
    <t>99,30</t>
  </si>
  <si>
    <t xml:space="preserve">Милостной Станислав </t>
  </si>
  <si>
    <t>Крюков Константин</t>
  </si>
  <si>
    <t>1. Крюков Константин</t>
  </si>
  <si>
    <t>Открытая (24.09.1994)/25</t>
  </si>
  <si>
    <t>97,65</t>
  </si>
  <si>
    <t>Седусов Евгений</t>
  </si>
  <si>
    <t>2. Седусов Евгений</t>
  </si>
  <si>
    <t>Открытая (02.08.1991)/28</t>
  </si>
  <si>
    <t>96,35</t>
  </si>
  <si>
    <t>132,5</t>
  </si>
  <si>
    <t>1. Березин Андрей</t>
  </si>
  <si>
    <t>Мастера 40 - 44 (10.02.1975)/44</t>
  </si>
  <si>
    <t>94,60</t>
  </si>
  <si>
    <t>145,0</t>
  </si>
  <si>
    <t>Тарасов Александр</t>
  </si>
  <si>
    <t>1. Тарасов Александр</t>
  </si>
  <si>
    <t>Открытая (12.04.1982)/37</t>
  </si>
  <si>
    <t>107,65</t>
  </si>
  <si>
    <t>167,5</t>
  </si>
  <si>
    <t>172,5</t>
  </si>
  <si>
    <t>97,0307</t>
  </si>
  <si>
    <t>93,5411</t>
  </si>
  <si>
    <t>92,2975</t>
  </si>
  <si>
    <t>100,7760</t>
  </si>
  <si>
    <t>95,1113</t>
  </si>
  <si>
    <t>93,0724</t>
  </si>
  <si>
    <t>79,8071</t>
  </si>
  <si>
    <t>75</t>
  </si>
  <si>
    <t>77,0738</t>
  </si>
  <si>
    <t>74,6969</t>
  </si>
  <si>
    <t>Гран-при России по пауэрлифтингу
ПРО жим лежа без экипировки
Курск/Курская область 26 - 27 октября 2019 г.</t>
  </si>
  <si>
    <t>1. Шутеев Роман</t>
  </si>
  <si>
    <t>Открытая (13.08.1985)/34</t>
  </si>
  <si>
    <t>101,70</t>
  </si>
  <si>
    <t>177,5</t>
  </si>
  <si>
    <t>182,5</t>
  </si>
  <si>
    <t>Гран-при России по пауэрлифтингу
Любители жим лежа в Софт экипировка однопетельная
Курск/Курская область 26 - 27 октября 2019 г.</t>
  </si>
  <si>
    <t>1. Душевин Евгений</t>
  </si>
  <si>
    <t>Открытая (20.08.1995)/24</t>
  </si>
  <si>
    <t>81,95</t>
  </si>
  <si>
    <t xml:space="preserve">Ливны/Орловская область </t>
  </si>
  <si>
    <t>185,0</t>
  </si>
  <si>
    <t>195,0</t>
  </si>
  <si>
    <t xml:space="preserve">Атменеев Виталий </t>
  </si>
  <si>
    <t>1. Атменеев Виталий</t>
  </si>
  <si>
    <t>Открытая (06.11.1986)/32</t>
  </si>
  <si>
    <t>105,60</t>
  </si>
  <si>
    <t>255,0</t>
  </si>
  <si>
    <t xml:space="preserve">Еловиков Роман </t>
  </si>
  <si>
    <t>Гран-при России по пауэрлифтингу
Любители становая тяга без экипировки
Курск/Курская область 26 - 27 октября 2019 г.</t>
  </si>
  <si>
    <t>1. Чукина Елена</t>
  </si>
  <si>
    <t>Девушки 16 - 17 (08.11.2001)/17</t>
  </si>
  <si>
    <t>58,40</t>
  </si>
  <si>
    <t xml:space="preserve">д. Малютина/Курская область </t>
  </si>
  <si>
    <t>Максимов Андрей</t>
  </si>
  <si>
    <t>1. Максимов Андрей</t>
  </si>
  <si>
    <t>Открытая (24.10.1991)/28</t>
  </si>
  <si>
    <t>59,35</t>
  </si>
  <si>
    <t>202,5</t>
  </si>
  <si>
    <t>Вараев Сергей</t>
  </si>
  <si>
    <t>2. Вараев Сергей</t>
  </si>
  <si>
    <t>Открытая (30.01.1982)/37</t>
  </si>
  <si>
    <t>66,25</t>
  </si>
  <si>
    <t>1. Хващинский Дмитрий</t>
  </si>
  <si>
    <t>Юноши 18 - 19 (01.10.2000)/19</t>
  </si>
  <si>
    <t>73,70</t>
  </si>
  <si>
    <t>Шахов Сергей</t>
  </si>
  <si>
    <t>1. Шахов Сергей</t>
  </si>
  <si>
    <t>Открытая (13.06.1987)/32</t>
  </si>
  <si>
    <t>81,25</t>
  </si>
  <si>
    <t>265,0</t>
  </si>
  <si>
    <t>Польшиков Василий</t>
  </si>
  <si>
    <t>2. Польшиков Василий</t>
  </si>
  <si>
    <t>Открытая (21.09.1982)/37</t>
  </si>
  <si>
    <t>80,65</t>
  </si>
  <si>
    <t>230,0</t>
  </si>
  <si>
    <t xml:space="preserve"> </t>
  </si>
  <si>
    <t>1. Яковлев Александр</t>
  </si>
  <si>
    <t>Юноши 16 - 17 (24.12.2001)/17</t>
  </si>
  <si>
    <t>86,65</t>
  </si>
  <si>
    <t>197,5</t>
  </si>
  <si>
    <t>Галютов Александр</t>
  </si>
  <si>
    <t>1. Галютов Александр</t>
  </si>
  <si>
    <t>Открытая (05.10.1989)/30</t>
  </si>
  <si>
    <t>88,30</t>
  </si>
  <si>
    <t>225,0</t>
  </si>
  <si>
    <t>Воробьев Александр</t>
  </si>
  <si>
    <t>2. Воробьев Александр</t>
  </si>
  <si>
    <t>Открытая (04.05.1988)/31</t>
  </si>
  <si>
    <t>88,45</t>
  </si>
  <si>
    <t>Гусев Александр</t>
  </si>
  <si>
    <t>1. Гусев Александр</t>
  </si>
  <si>
    <t>Открытая (08.08.1973)/46</t>
  </si>
  <si>
    <t>97,25</t>
  </si>
  <si>
    <t>235,0</t>
  </si>
  <si>
    <t>247,5</t>
  </si>
  <si>
    <t>Петрухин Александр</t>
  </si>
  <si>
    <t>2. Петрухин Александр</t>
  </si>
  <si>
    <t>Открытая (26.02.1984)/35</t>
  </si>
  <si>
    <t>93,80</t>
  </si>
  <si>
    <t>Мастера 45 - 49 (08.08.1973)/46</t>
  </si>
  <si>
    <t>Тихонов Андрей</t>
  </si>
  <si>
    <t>1. Тихонов Андрей</t>
  </si>
  <si>
    <t>Открытая (08.11.1980)/38</t>
  </si>
  <si>
    <t>108,00</t>
  </si>
  <si>
    <t>310,0</t>
  </si>
  <si>
    <t>325,0</t>
  </si>
  <si>
    <t>168,5202</t>
  </si>
  <si>
    <t>167,1210</t>
  </si>
  <si>
    <t>159,6172</t>
  </si>
  <si>
    <t>150,5110</t>
  </si>
  <si>
    <t>138,4350</t>
  </si>
  <si>
    <t>131,8703</t>
  </si>
  <si>
    <t>116,9595</t>
  </si>
  <si>
    <t>116,8410</t>
  </si>
  <si>
    <t>114,4210</t>
  </si>
  <si>
    <t>114,3400</t>
  </si>
  <si>
    <t>Гран-при России по пауэрлифтингу
ПРО становая тяга без экипировки
Курск/Курская область 26 - 27 октября 2019 г.</t>
  </si>
  <si>
    <t>1. Зиновьева Татьяна</t>
  </si>
  <si>
    <t>Мастера 45 - 49 (24.04.1971)/48</t>
  </si>
  <si>
    <t>1. Васильева Наталья</t>
  </si>
  <si>
    <t>Открытая (10.12.1979)/39</t>
  </si>
  <si>
    <t>62,25</t>
  </si>
  <si>
    <t>1. Алферов Алексей</t>
  </si>
  <si>
    <t>Открытая (10.11.1986)/32</t>
  </si>
  <si>
    <t>77,85</t>
  </si>
  <si>
    <t>Гран-при России по пауэрлифтингу
Силовое двоеборье любители
Курск/Курская область 26 - 27 октября 2019 г.</t>
  </si>
  <si>
    <t>1. Скляр Елена</t>
  </si>
  <si>
    <t>Мастера 40 - 44 (10.02.1978)/41</t>
  </si>
  <si>
    <t>65,00</t>
  </si>
  <si>
    <t>55,0</t>
  </si>
  <si>
    <t>87,5</t>
  </si>
  <si>
    <t>Гран-при России по пауэрлифтингу
Русский жим профессионалы 75 кг.
Курск/Курская область 26 - 27 октября 2019 г.</t>
  </si>
  <si>
    <t>Атлетизм</t>
  </si>
  <si>
    <t>Русский жим</t>
  </si>
  <si>
    <t>1. Клюев Игорь</t>
  </si>
  <si>
    <t>Открытая (04.04.1989)/30</t>
  </si>
  <si>
    <t>89,40</t>
  </si>
  <si>
    <t>51,0</t>
  </si>
  <si>
    <t>Вес</t>
  </si>
  <si>
    <t>Повторы</t>
  </si>
  <si>
    <t>Тоннаж</t>
  </si>
  <si>
    <t>Гран-при России по пауэрлифтингу
Русский жим любители 35 кг.
Курск/Курская область 26 - 27 октября 2019 г.</t>
  </si>
  <si>
    <t>35,0</t>
  </si>
  <si>
    <t>36,0</t>
  </si>
  <si>
    <t>Гран-при России по пауэрлифтингу
Русская станова тяга любители 55 кг.
Курск/Курская область 26 - 27 октября 2019 г.</t>
  </si>
  <si>
    <t>Русская становая</t>
  </si>
  <si>
    <t>1. Луценко Анастасия</t>
  </si>
  <si>
    <t>Юниорки 20 - 23 (27.10.1998)/21</t>
  </si>
  <si>
    <t>47,60</t>
  </si>
  <si>
    <t>1. Ельникова Марина</t>
  </si>
  <si>
    <t>Открытая (26.04.1987)/32</t>
  </si>
  <si>
    <t>67,45</t>
  </si>
  <si>
    <t>Открытая (07.06.1993)/26</t>
  </si>
  <si>
    <t>Гран-при России по пауэрлифтингу
Русская станова тяга любители 75 кг.
Курск/Курская область 26 - 27 октября 2019 г.</t>
  </si>
  <si>
    <t>1. Николаевская Олеся</t>
  </si>
  <si>
    <t>Открытая (25.06.1982)/37</t>
  </si>
  <si>
    <t>55,55</t>
  </si>
  <si>
    <t>25,0</t>
  </si>
  <si>
    <t>Гран-при России по пауэрлифтингу
Русская станова тяга любители 150 кг.
Курск/Курская область 26 - 27 октября 2019 г.</t>
  </si>
  <si>
    <t>24,0</t>
  </si>
  <si>
    <t>1. Малышев Евгений</t>
  </si>
  <si>
    <t>Мастера 45 - 49 (02.12.1972)/46</t>
  </si>
  <si>
    <t>78,85</t>
  </si>
  <si>
    <t>20,0</t>
  </si>
  <si>
    <t>Гран-при России по пауэрлифтингу
Русская станова тяга профессионалы 200 кг.
Курск/Курская область 26 - 27 октября 2019 г.</t>
  </si>
  <si>
    <t>18,0</t>
  </si>
  <si>
    <t>10,0</t>
  </si>
  <si>
    <t>Гран-при России по пауэрлифтингу
Одиночный подъём штанги на бицепс Любители
Курск/Курская область 26 - 27 октября 2019 г.</t>
  </si>
  <si>
    <t>Подъем на бицепс</t>
  </si>
  <si>
    <t>37,5</t>
  </si>
  <si>
    <t>Гран-при России по пауэрлифтингу
Пауэрспорт Любители
Курск/Курская область 26 - 27 октября 2019 г.</t>
  </si>
  <si>
    <t>Жим стоя</t>
  </si>
  <si>
    <t>Гран-при России по пауэрлифтингу
Любители народный жим (1 вес)
Курск/Курская область 26 - 27 октября 2019 г.</t>
  </si>
  <si>
    <t>НАП Н.Ж.</t>
  </si>
  <si>
    <t>Народный жим</t>
  </si>
  <si>
    <t>1. Шашков Алексей</t>
  </si>
  <si>
    <t>Юниоры 20 - 23 (03.01.1997)/22</t>
  </si>
  <si>
    <t>84,35</t>
  </si>
  <si>
    <t>29,0</t>
  </si>
  <si>
    <t>Народная становая</t>
  </si>
  <si>
    <t>1. Новиков Денис</t>
  </si>
  <si>
    <t>Юниоры 20 - 23 (14.08.1997)/22</t>
  </si>
  <si>
    <t>71,50</t>
  </si>
  <si>
    <t>Гран-при России по пауэрлифтингу
СОВ народная становая тяга
Курск/Курская область 26 - 27 октября 2019 г.</t>
  </si>
  <si>
    <t>Гран-при России по пауэрлифтингу
СОВ военный жим
Курск/Курская область 26 - 27 октября 2019 г.</t>
  </si>
  <si>
    <t>ВЕСОВАЯ КАТЕГОРИЯ   67,5</t>
  </si>
  <si>
    <t>ВЕСОВАЯ КАТЕГОРИЯ   82,5</t>
  </si>
  <si>
    <t>1. Манжос Ольга</t>
  </si>
  <si>
    <t>Мн. Жим</t>
  </si>
  <si>
    <t>1. Панков Борис</t>
  </si>
  <si>
    <t>вес</t>
  </si>
  <si>
    <t>повт</t>
  </si>
  <si>
    <t>тоннаж</t>
  </si>
  <si>
    <t>26</t>
  </si>
  <si>
    <t>2340</t>
  </si>
  <si>
    <t>Гран-при России по пауэрлифтингу
Жимовое двоеборье любители
Курск/Курская область 26 - 27 октября 2019 г.</t>
  </si>
  <si>
    <t>Крузина Ася</t>
  </si>
  <si>
    <t>Иванов Сергей</t>
  </si>
  <si>
    <t>Меркулов Виталий</t>
  </si>
  <si>
    <t>Перьков Александр</t>
  </si>
  <si>
    <t>83,7850</t>
  </si>
  <si>
    <t>Алмосов Александр</t>
  </si>
  <si>
    <t xml:space="preserve">Немчинов Александр Михайлович </t>
  </si>
  <si>
    <t>Тихонов Андрей Юрьевич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</si>
</sst>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1">
      <selection activeCell="K11" sqref="K1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9.625" style="3" bestFit="1" customWidth="1"/>
    <col min="11" max="11" width="29.75390625" style="4" bestFit="1" customWidth="1"/>
    <col min="12" max="16384" width="9.125" style="3" customWidth="1"/>
  </cols>
  <sheetData>
    <row r="1" spans="1:11" s="2" customFormat="1" ht="12.75">
      <c r="A1" s="44" t="s">
        <v>408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56.2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398</v>
      </c>
      <c r="E3" s="38" t="s">
        <v>4</v>
      </c>
      <c r="F3" s="38" t="s">
        <v>8</v>
      </c>
      <c r="G3" s="38" t="s">
        <v>404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171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405</v>
      </c>
      <c r="B6" s="5" t="s">
        <v>406</v>
      </c>
      <c r="C6" s="5" t="s">
        <v>407</v>
      </c>
      <c r="D6" s="5" t="str">
        <f>"0,8256"</f>
        <v>0,8256</v>
      </c>
      <c r="E6" s="5" t="s">
        <v>53</v>
      </c>
      <c r="F6" s="5" t="s">
        <v>35</v>
      </c>
      <c r="G6" s="6" t="s">
        <v>176</v>
      </c>
      <c r="H6" s="25" t="s">
        <v>37</v>
      </c>
      <c r="I6" s="5" t="str">
        <f>"4300,0"</f>
        <v>4300,0</v>
      </c>
      <c r="J6" s="6" t="str">
        <f>"3550,0801"</f>
        <v>3550,0801</v>
      </c>
      <c r="K6" s="37" t="s">
        <v>427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6.875" style="3" customWidth="1"/>
    <col min="8" max="8" width="6.875" style="26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3" t="s">
        <v>356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358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359</v>
      </c>
      <c r="B6" s="5" t="s">
        <v>360</v>
      </c>
      <c r="C6" s="5" t="s">
        <v>361</v>
      </c>
      <c r="D6" s="5" t="str">
        <f>"1,0000"</f>
        <v>1,0000</v>
      </c>
      <c r="E6" s="5" t="s">
        <v>53</v>
      </c>
      <c r="F6" s="5" t="s">
        <v>35</v>
      </c>
      <c r="G6" s="6" t="s">
        <v>21</v>
      </c>
      <c r="H6" s="25" t="s">
        <v>362</v>
      </c>
      <c r="I6" s="5" t="str">
        <f>"3825,0"</f>
        <v>3825,0</v>
      </c>
      <c r="J6" s="6" t="str">
        <f>"42,7852"</f>
        <v>42,7852</v>
      </c>
      <c r="K6" s="5" t="s">
        <v>117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4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53" t="s">
        <v>350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9"/>
      <c r="P4" s="39"/>
      <c r="Q4" s="41"/>
    </row>
    <row r="5" spans="1:16" ht="15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5" t="s">
        <v>153</v>
      </c>
      <c r="B6" s="5" t="s">
        <v>154</v>
      </c>
      <c r="C6" s="5" t="s">
        <v>155</v>
      </c>
      <c r="D6" s="5" t="str">
        <f>"0,8986"</f>
        <v>0,8986</v>
      </c>
      <c r="E6" s="5" t="s">
        <v>156</v>
      </c>
      <c r="F6" s="5" t="s">
        <v>35</v>
      </c>
      <c r="G6" s="6" t="s">
        <v>45</v>
      </c>
      <c r="H6" s="6" t="s">
        <v>46</v>
      </c>
      <c r="I6" s="7" t="s">
        <v>157</v>
      </c>
      <c r="J6" s="7"/>
      <c r="K6" s="6" t="s">
        <v>56</v>
      </c>
      <c r="L6" s="6" t="s">
        <v>47</v>
      </c>
      <c r="M6" s="6" t="s">
        <v>48</v>
      </c>
      <c r="N6" s="7"/>
      <c r="O6" s="5" t="str">
        <f>"175,0"</f>
        <v>175,0</v>
      </c>
      <c r="P6" s="6" t="str">
        <f>"293,2969"</f>
        <v>293,2969</v>
      </c>
      <c r="Q6" s="5" t="s">
        <v>158</v>
      </c>
    </row>
    <row r="8" spans="1:16" ht="15">
      <c r="A8" s="59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7" ht="12.75">
      <c r="A9" s="5" t="s">
        <v>351</v>
      </c>
      <c r="B9" s="5" t="s">
        <v>352</v>
      </c>
      <c r="C9" s="5" t="s">
        <v>353</v>
      </c>
      <c r="D9" s="5" t="str">
        <f>"0,8047"</f>
        <v>0,8047</v>
      </c>
      <c r="E9" s="5" t="s">
        <v>18</v>
      </c>
      <c r="F9" s="5" t="s">
        <v>19</v>
      </c>
      <c r="G9" s="6" t="s">
        <v>354</v>
      </c>
      <c r="H9" s="7" t="s">
        <v>45</v>
      </c>
      <c r="I9" s="7" t="s">
        <v>45</v>
      </c>
      <c r="J9" s="7"/>
      <c r="K9" s="6" t="s">
        <v>38</v>
      </c>
      <c r="L9" s="6" t="s">
        <v>355</v>
      </c>
      <c r="M9" s="6" t="s">
        <v>27</v>
      </c>
      <c r="N9" s="7"/>
      <c r="O9" s="5" t="str">
        <f>"147,5"</f>
        <v>147,5</v>
      </c>
      <c r="P9" s="6" t="str">
        <f>"119,0493"</f>
        <v>119,0493</v>
      </c>
      <c r="Q9" s="5" t="s">
        <v>29</v>
      </c>
    </row>
    <row r="11" spans="5:6" ht="12.75">
      <c r="E11" s="4" t="s">
        <v>88</v>
      </c>
      <c r="F11" s="4" t="s">
        <v>421</v>
      </c>
    </row>
    <row r="12" spans="5:6" ht="12.75">
      <c r="E12" s="4" t="s">
        <v>89</v>
      </c>
      <c r="F12" s="4" t="s">
        <v>422</v>
      </c>
    </row>
    <row r="13" spans="5:6" ht="12.75">
      <c r="E13" s="4" t="s">
        <v>90</v>
      </c>
      <c r="F13" s="4" t="s">
        <v>424</v>
      </c>
    </row>
    <row r="14" spans="5:6" ht="12.75">
      <c r="E14" s="4" t="s">
        <v>91</v>
      </c>
      <c r="F14" s="4" t="s">
        <v>426</v>
      </c>
    </row>
    <row r="15" spans="5:6" ht="12.75">
      <c r="E15" s="4" t="s">
        <v>91</v>
      </c>
      <c r="F15" s="4" t="s">
        <v>423</v>
      </c>
    </row>
    <row r="19" spans="1:2" ht="18">
      <c r="A19" s="15"/>
      <c r="B19" s="15"/>
    </row>
    <row r="20" spans="1:2" ht="15">
      <c r="A20" s="16"/>
      <c r="B20" s="16"/>
    </row>
    <row r="21" spans="1:2" ht="14.25">
      <c r="A21" s="18"/>
      <c r="B21" s="19"/>
    </row>
    <row r="22" spans="1:5" ht="15">
      <c r="A22" s="1"/>
      <c r="B22" s="1"/>
      <c r="C22" s="1"/>
      <c r="D22" s="1"/>
      <c r="E22" s="1"/>
    </row>
    <row r="23" spans="1:5" ht="12.75">
      <c r="A23" s="17"/>
      <c r="E23" s="21"/>
    </row>
    <row r="24" spans="1:5" ht="12.75">
      <c r="A24" s="17"/>
      <c r="E24" s="21"/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3" t="s">
        <v>341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13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30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342</v>
      </c>
      <c r="B6" s="5" t="s">
        <v>343</v>
      </c>
      <c r="C6" s="5" t="s">
        <v>155</v>
      </c>
      <c r="D6" s="5" t="str">
        <f>"0,8986"</f>
        <v>0,8986</v>
      </c>
      <c r="E6" s="5" t="s">
        <v>53</v>
      </c>
      <c r="F6" s="5" t="s">
        <v>35</v>
      </c>
      <c r="G6" s="7" t="s">
        <v>22</v>
      </c>
      <c r="H6" s="7" t="s">
        <v>22</v>
      </c>
      <c r="I6" s="6" t="s">
        <v>22</v>
      </c>
      <c r="J6" s="7"/>
      <c r="K6" s="5" t="str">
        <f>"82,5"</f>
        <v>82,5</v>
      </c>
      <c r="L6" s="6" t="str">
        <f>"82,8128"</f>
        <v>82,8128</v>
      </c>
      <c r="M6" s="5" t="s">
        <v>129</v>
      </c>
    </row>
    <row r="8" spans="1:12" ht="15">
      <c r="A8" s="59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.75">
      <c r="A9" s="5" t="s">
        <v>344</v>
      </c>
      <c r="B9" s="5" t="s">
        <v>345</v>
      </c>
      <c r="C9" s="5" t="s">
        <v>346</v>
      </c>
      <c r="D9" s="5" t="str">
        <f>"0,8347"</f>
        <v>0,8347</v>
      </c>
      <c r="E9" s="5" t="s">
        <v>128</v>
      </c>
      <c r="F9" s="5" t="s">
        <v>35</v>
      </c>
      <c r="G9" s="6" t="s">
        <v>55</v>
      </c>
      <c r="H9" s="6" t="s">
        <v>43</v>
      </c>
      <c r="I9" s="6" t="s">
        <v>56</v>
      </c>
      <c r="J9" s="7"/>
      <c r="K9" s="5" t="str">
        <f>"100,0"</f>
        <v>100,0</v>
      </c>
      <c r="L9" s="6" t="str">
        <f>"83,4700"</f>
        <v>83,4700</v>
      </c>
      <c r="M9" s="5" t="s">
        <v>129</v>
      </c>
    </row>
    <row r="11" spans="1:12" ht="15">
      <c r="A11" s="59" t="s">
        <v>70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ht="12.75">
      <c r="A12" s="5" t="s">
        <v>347</v>
      </c>
      <c r="B12" s="5" t="s">
        <v>348</v>
      </c>
      <c r="C12" s="5" t="s">
        <v>349</v>
      </c>
      <c r="D12" s="5" t="str">
        <f>"0,6457"</f>
        <v>0,6457</v>
      </c>
      <c r="E12" s="5" t="s">
        <v>128</v>
      </c>
      <c r="F12" s="5" t="s">
        <v>35</v>
      </c>
      <c r="G12" s="6" t="s">
        <v>58</v>
      </c>
      <c r="H12" s="6" t="s">
        <v>74</v>
      </c>
      <c r="I12" s="7" t="s">
        <v>65</v>
      </c>
      <c r="J12" s="7"/>
      <c r="K12" s="5" t="str">
        <f>"140,0"</f>
        <v>140,0</v>
      </c>
      <c r="L12" s="6" t="str">
        <f>"90,4050"</f>
        <v>90,4050</v>
      </c>
      <c r="M12" s="5" t="s">
        <v>129</v>
      </c>
    </row>
    <row r="14" spans="5:6" ht="12.75">
      <c r="E14" s="4" t="s">
        <v>88</v>
      </c>
      <c r="F14" s="4" t="s">
        <v>421</v>
      </c>
    </row>
    <row r="15" spans="5:6" ht="12.75">
      <c r="E15" s="4" t="s">
        <v>89</v>
      </c>
      <c r="F15" s="4" t="s">
        <v>422</v>
      </c>
    </row>
    <row r="16" spans="5:6" ht="12.75">
      <c r="E16" s="4" t="s">
        <v>90</v>
      </c>
      <c r="F16" s="4" t="s">
        <v>424</v>
      </c>
    </row>
    <row r="17" spans="5:6" ht="12.75">
      <c r="E17" s="4" t="s">
        <v>91</v>
      </c>
      <c r="F17" s="4" t="s">
        <v>426</v>
      </c>
    </row>
    <row r="18" spans="5:6" ht="12.75">
      <c r="E18" s="4" t="s">
        <v>91</v>
      </c>
      <c r="F18" s="4" t="s">
        <v>423</v>
      </c>
    </row>
    <row r="20" ht="15">
      <c r="E20" s="14"/>
    </row>
    <row r="22" spans="1:2" ht="18">
      <c r="A22" s="15"/>
      <c r="B22" s="15"/>
    </row>
    <row r="23" spans="1:2" ht="15">
      <c r="A23" s="16"/>
      <c r="B23" s="16"/>
    </row>
    <row r="24" spans="1:2" ht="14.25">
      <c r="A24" s="18"/>
      <c r="B24" s="19"/>
    </row>
    <row r="25" spans="1:5" ht="15">
      <c r="A25" s="1"/>
      <c r="B25" s="1"/>
      <c r="C25" s="1"/>
      <c r="D25" s="1"/>
      <c r="E25" s="1"/>
    </row>
    <row r="26" spans="1:5" ht="12.75">
      <c r="A26" s="17"/>
      <c r="E26" s="21"/>
    </row>
    <row r="28" spans="1:2" ht="14.25">
      <c r="A28" s="18"/>
      <c r="B28" s="19"/>
    </row>
    <row r="29" spans="1:5" ht="15">
      <c r="A29" s="1"/>
      <c r="B29" s="1"/>
      <c r="C29" s="1"/>
      <c r="D29" s="1"/>
      <c r="E29" s="1"/>
    </row>
    <row r="30" spans="1:5" ht="12.75">
      <c r="A30" s="17"/>
      <c r="E30" s="21"/>
    </row>
    <row r="33" spans="1:2" ht="15">
      <c r="A33" s="16"/>
      <c r="B33" s="16"/>
    </row>
    <row r="34" spans="1:2" ht="14.25">
      <c r="A34" s="18"/>
      <c r="B34" s="19"/>
    </row>
    <row r="35" spans="1:5" ht="15">
      <c r="A35" s="1"/>
      <c r="B35" s="1"/>
      <c r="C35" s="1"/>
      <c r="D35" s="1"/>
      <c r="E35" s="1"/>
    </row>
    <row r="36" spans="1:5" ht="12.75">
      <c r="A36" s="17"/>
      <c r="E36" s="21"/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53" t="s">
        <v>273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13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15</v>
      </c>
      <c r="B6" s="5" t="s">
        <v>16</v>
      </c>
      <c r="C6" s="5" t="s">
        <v>17</v>
      </c>
      <c r="D6" s="5" t="str">
        <f>"0,9701"</f>
        <v>0,9701</v>
      </c>
      <c r="E6" s="5" t="s">
        <v>18</v>
      </c>
      <c r="F6" s="5" t="s">
        <v>19</v>
      </c>
      <c r="G6" s="6" t="s">
        <v>26</v>
      </c>
      <c r="H6" s="6" t="s">
        <v>27</v>
      </c>
      <c r="I6" s="7" t="s">
        <v>28</v>
      </c>
      <c r="J6" s="7"/>
      <c r="K6" s="5" t="str">
        <f>"92,5"</f>
        <v>92,5</v>
      </c>
      <c r="L6" s="6" t="str">
        <f>"89,7342"</f>
        <v>89,7342</v>
      </c>
      <c r="M6" s="5" t="s">
        <v>29</v>
      </c>
    </row>
    <row r="8" spans="1:12" ht="15">
      <c r="A8" s="59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.75">
      <c r="A9" s="8" t="s">
        <v>274</v>
      </c>
      <c r="B9" s="8" t="s">
        <v>275</v>
      </c>
      <c r="C9" s="8" t="s">
        <v>276</v>
      </c>
      <c r="D9" s="8" t="str">
        <f>"0,8807"</f>
        <v>0,8807</v>
      </c>
      <c r="E9" s="8" t="s">
        <v>110</v>
      </c>
      <c r="F9" s="8" t="s">
        <v>277</v>
      </c>
      <c r="G9" s="9" t="s">
        <v>43</v>
      </c>
      <c r="H9" s="9" t="s">
        <v>28</v>
      </c>
      <c r="I9" s="10" t="s">
        <v>48</v>
      </c>
      <c r="J9" s="10"/>
      <c r="K9" s="8" t="str">
        <f>"102,5"</f>
        <v>102,5</v>
      </c>
      <c r="L9" s="9" t="str">
        <f>"97,4935"</f>
        <v>97,4935</v>
      </c>
      <c r="M9" s="8" t="s">
        <v>146</v>
      </c>
    </row>
    <row r="10" spans="1:13" ht="12.75">
      <c r="A10" s="11" t="s">
        <v>153</v>
      </c>
      <c r="B10" s="11" t="s">
        <v>154</v>
      </c>
      <c r="C10" s="11" t="s">
        <v>155</v>
      </c>
      <c r="D10" s="11" t="str">
        <f>"0,8986"</f>
        <v>0,8986</v>
      </c>
      <c r="E10" s="11" t="s">
        <v>156</v>
      </c>
      <c r="F10" s="11" t="s">
        <v>35</v>
      </c>
      <c r="G10" s="12" t="s">
        <v>56</v>
      </c>
      <c r="H10" s="12" t="s">
        <v>47</v>
      </c>
      <c r="I10" s="12" t="s">
        <v>48</v>
      </c>
      <c r="J10" s="13"/>
      <c r="K10" s="11" t="str">
        <f>"112,5"</f>
        <v>112,5</v>
      </c>
      <c r="L10" s="12" t="str">
        <f>"188,5480"</f>
        <v>188,5480</v>
      </c>
      <c r="M10" s="11" t="s">
        <v>158</v>
      </c>
    </row>
    <row r="12" spans="1:12" ht="15">
      <c r="A12" s="59" t="s">
        <v>30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3" ht="12.75">
      <c r="A13" s="5" t="s">
        <v>279</v>
      </c>
      <c r="B13" s="5" t="s">
        <v>280</v>
      </c>
      <c r="C13" s="5" t="s">
        <v>281</v>
      </c>
      <c r="D13" s="5" t="str">
        <f>"0,8220"</f>
        <v>0,8220</v>
      </c>
      <c r="E13" s="5" t="s">
        <v>110</v>
      </c>
      <c r="F13" s="5" t="s">
        <v>35</v>
      </c>
      <c r="G13" s="6" t="s">
        <v>67</v>
      </c>
      <c r="H13" s="6" t="s">
        <v>282</v>
      </c>
      <c r="I13" s="6" t="s">
        <v>69</v>
      </c>
      <c r="J13" s="7"/>
      <c r="K13" s="5" t="str">
        <f>"205,0"</f>
        <v>205,0</v>
      </c>
      <c r="L13" s="6" t="str">
        <f>"168,5202"</f>
        <v>168,5202</v>
      </c>
      <c r="M13" s="5" t="s">
        <v>146</v>
      </c>
    </row>
    <row r="15" spans="1:12" ht="15">
      <c r="A15" s="59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3" ht="12.75">
      <c r="A16" s="8" t="s">
        <v>62</v>
      </c>
      <c r="B16" s="8" t="s">
        <v>63</v>
      </c>
      <c r="C16" s="8" t="s">
        <v>64</v>
      </c>
      <c r="D16" s="8" t="str">
        <f>"0,7342"</f>
        <v>0,7342</v>
      </c>
      <c r="E16" s="8" t="s">
        <v>53</v>
      </c>
      <c r="F16" s="8" t="s">
        <v>54</v>
      </c>
      <c r="G16" s="9" t="s">
        <v>67</v>
      </c>
      <c r="H16" s="9" t="s">
        <v>68</v>
      </c>
      <c r="I16" s="9" t="s">
        <v>69</v>
      </c>
      <c r="J16" s="10"/>
      <c r="K16" s="8" t="str">
        <f>"205,0"</f>
        <v>205,0</v>
      </c>
      <c r="L16" s="9" t="str">
        <f>"150,5110"</f>
        <v>150,5110</v>
      </c>
      <c r="M16" s="8" t="s">
        <v>60</v>
      </c>
    </row>
    <row r="17" spans="1:13" ht="12.75">
      <c r="A17" s="11" t="s">
        <v>284</v>
      </c>
      <c r="B17" s="11" t="s">
        <v>285</v>
      </c>
      <c r="C17" s="11" t="s">
        <v>286</v>
      </c>
      <c r="D17" s="11" t="str">
        <f>"0,7382"</f>
        <v>0,7382</v>
      </c>
      <c r="E17" s="11" t="s">
        <v>110</v>
      </c>
      <c r="F17" s="11" t="s">
        <v>35</v>
      </c>
      <c r="G17" s="12" t="s">
        <v>66</v>
      </c>
      <c r="H17" s="13" t="s">
        <v>242</v>
      </c>
      <c r="I17" s="13" t="s">
        <v>242</v>
      </c>
      <c r="J17" s="13"/>
      <c r="K17" s="11" t="str">
        <f>"155,0"</f>
        <v>155,0</v>
      </c>
      <c r="L17" s="12" t="str">
        <f>"114,4210"</f>
        <v>114,4210</v>
      </c>
      <c r="M17" s="11" t="s">
        <v>146</v>
      </c>
    </row>
    <row r="19" spans="1:12" ht="15">
      <c r="A19" s="59" t="s">
        <v>171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3" ht="12.75">
      <c r="A20" s="5" t="s">
        <v>287</v>
      </c>
      <c r="B20" s="5" t="s">
        <v>288</v>
      </c>
      <c r="C20" s="5" t="s">
        <v>289</v>
      </c>
      <c r="D20" s="5" t="str">
        <f>"0,6737"</f>
        <v>0,6737</v>
      </c>
      <c r="E20" s="5" t="s">
        <v>110</v>
      </c>
      <c r="F20" s="5" t="s">
        <v>35</v>
      </c>
      <c r="G20" s="6" t="s">
        <v>75</v>
      </c>
      <c r="H20" s="7" t="s">
        <v>112</v>
      </c>
      <c r="I20" s="7" t="s">
        <v>112</v>
      </c>
      <c r="J20" s="7"/>
      <c r="K20" s="5" t="str">
        <f>"162,5"</f>
        <v>162,5</v>
      </c>
      <c r="L20" s="6" t="str">
        <f>"113,8553"</f>
        <v>113,8553</v>
      </c>
      <c r="M20" s="5" t="s">
        <v>146</v>
      </c>
    </row>
    <row r="22" spans="1:12" ht="15">
      <c r="A22" s="59" t="s">
        <v>70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3" ht="12.75">
      <c r="A23" s="8" t="s">
        <v>291</v>
      </c>
      <c r="B23" s="8" t="s">
        <v>292</v>
      </c>
      <c r="C23" s="8" t="s">
        <v>293</v>
      </c>
      <c r="D23" s="8" t="str">
        <f>"0,6259"</f>
        <v>0,6259</v>
      </c>
      <c r="E23" s="8" t="s">
        <v>128</v>
      </c>
      <c r="F23" s="8" t="s">
        <v>35</v>
      </c>
      <c r="G23" s="9" t="s">
        <v>271</v>
      </c>
      <c r="H23" s="10" t="s">
        <v>294</v>
      </c>
      <c r="I23" s="10" t="s">
        <v>294</v>
      </c>
      <c r="J23" s="10"/>
      <c r="K23" s="8" t="str">
        <f>"255,0"</f>
        <v>255,0</v>
      </c>
      <c r="L23" s="9" t="str">
        <f>"159,6172"</f>
        <v>159,6172</v>
      </c>
      <c r="M23" s="8" t="s">
        <v>129</v>
      </c>
    </row>
    <row r="24" spans="1:13" ht="12.75">
      <c r="A24" s="11" t="s">
        <v>296</v>
      </c>
      <c r="B24" s="11" t="s">
        <v>297</v>
      </c>
      <c r="C24" s="11" t="s">
        <v>298</v>
      </c>
      <c r="D24" s="11" t="str">
        <f>"0,6292"</f>
        <v>0,6292</v>
      </c>
      <c r="E24" s="11" t="s">
        <v>53</v>
      </c>
      <c r="F24" s="11" t="s">
        <v>214</v>
      </c>
      <c r="G24" s="12" t="s">
        <v>115</v>
      </c>
      <c r="H24" s="13" t="s">
        <v>299</v>
      </c>
      <c r="I24" s="13" t="s">
        <v>299</v>
      </c>
      <c r="J24" s="13"/>
      <c r="K24" s="11" t="str">
        <f>"220,0"</f>
        <v>220,0</v>
      </c>
      <c r="L24" s="12" t="str">
        <f>"138,4350"</f>
        <v>138,4350</v>
      </c>
      <c r="M24" s="11" t="s">
        <v>300</v>
      </c>
    </row>
    <row r="26" spans="1:12" ht="15">
      <c r="A26" s="59" t="s">
        <v>49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3" ht="12.75">
      <c r="A27" s="8" t="s">
        <v>301</v>
      </c>
      <c r="B27" s="8" t="s">
        <v>302</v>
      </c>
      <c r="C27" s="8" t="s">
        <v>303</v>
      </c>
      <c r="D27" s="8" t="str">
        <f>"0,5993"</f>
        <v>0,5993</v>
      </c>
      <c r="E27" s="8" t="s">
        <v>110</v>
      </c>
      <c r="F27" s="8" t="s">
        <v>35</v>
      </c>
      <c r="G27" s="9" t="s">
        <v>243</v>
      </c>
      <c r="H27" s="9" t="s">
        <v>265</v>
      </c>
      <c r="I27" s="10" t="s">
        <v>304</v>
      </c>
      <c r="J27" s="10"/>
      <c r="K27" s="8" t="str">
        <f>"185,0"</f>
        <v>185,0</v>
      </c>
      <c r="L27" s="9" t="str">
        <f>"119,7401"</f>
        <v>119,7401</v>
      </c>
      <c r="M27" s="8" t="s">
        <v>146</v>
      </c>
    </row>
    <row r="28" spans="1:13" ht="12.75">
      <c r="A28" s="22" t="s">
        <v>306</v>
      </c>
      <c r="B28" s="22" t="s">
        <v>307</v>
      </c>
      <c r="C28" s="22" t="s">
        <v>308</v>
      </c>
      <c r="D28" s="22" t="str">
        <f>"0,5922"</f>
        <v>0,5922</v>
      </c>
      <c r="E28" s="22" t="s">
        <v>110</v>
      </c>
      <c r="F28" s="22" t="s">
        <v>35</v>
      </c>
      <c r="G28" s="24" t="s">
        <v>265</v>
      </c>
      <c r="H28" s="24" t="s">
        <v>304</v>
      </c>
      <c r="I28" s="23" t="s">
        <v>309</v>
      </c>
      <c r="J28" s="23"/>
      <c r="K28" s="22" t="str">
        <f>"197,5"</f>
        <v>197,5</v>
      </c>
      <c r="L28" s="24" t="str">
        <f>"116,9595"</f>
        <v>116,9595</v>
      </c>
      <c r="M28" s="22" t="s">
        <v>146</v>
      </c>
    </row>
    <row r="29" spans="1:13" ht="12.75">
      <c r="A29" s="22" t="s">
        <v>311</v>
      </c>
      <c r="B29" s="22" t="s">
        <v>312</v>
      </c>
      <c r="C29" s="22" t="s">
        <v>313</v>
      </c>
      <c r="D29" s="22" t="str">
        <f>"0,5916"</f>
        <v>0,5916</v>
      </c>
      <c r="E29" s="22" t="s">
        <v>110</v>
      </c>
      <c r="F29" s="22" t="s">
        <v>35</v>
      </c>
      <c r="G29" s="24" t="s">
        <v>265</v>
      </c>
      <c r="H29" s="24" t="s">
        <v>304</v>
      </c>
      <c r="I29" s="23" t="s">
        <v>68</v>
      </c>
      <c r="J29" s="23"/>
      <c r="K29" s="22" t="str">
        <f>"197,5"</f>
        <v>197,5</v>
      </c>
      <c r="L29" s="24" t="str">
        <f>"116,8410"</f>
        <v>116,8410</v>
      </c>
      <c r="M29" s="22" t="s">
        <v>146</v>
      </c>
    </row>
    <row r="30" spans="1:19" ht="12.75">
      <c r="A30" s="11" t="s">
        <v>50</v>
      </c>
      <c r="B30" s="11" t="s">
        <v>51</v>
      </c>
      <c r="C30" s="11" t="s">
        <v>52</v>
      </c>
      <c r="D30" s="11" t="str">
        <f>"0,6445"</f>
        <v>0,6445</v>
      </c>
      <c r="E30" s="11" t="s">
        <v>53</v>
      </c>
      <c r="F30" s="11" t="s">
        <v>54</v>
      </c>
      <c r="G30" s="12" t="s">
        <v>58</v>
      </c>
      <c r="H30" s="13" t="s">
        <v>59</v>
      </c>
      <c r="I30" s="13" t="s">
        <v>59</v>
      </c>
      <c r="J30" s="13"/>
      <c r="K30" s="11" t="s">
        <v>58</v>
      </c>
      <c r="L30" s="12" t="s">
        <v>425</v>
      </c>
      <c r="M30" s="11" t="s">
        <v>60</v>
      </c>
      <c r="N30" s="35"/>
      <c r="R30" s="36"/>
      <c r="S30" s="4"/>
    </row>
    <row r="31" spans="1:12" ht="15">
      <c r="A31" s="59" t="s">
        <v>118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3" ht="12.75">
      <c r="A32" s="8" t="s">
        <v>315</v>
      </c>
      <c r="B32" s="8" t="s">
        <v>316</v>
      </c>
      <c r="C32" s="8" t="s">
        <v>317</v>
      </c>
      <c r="D32" s="8" t="str">
        <f>"0,5612"</f>
        <v>0,5612</v>
      </c>
      <c r="E32" s="8" t="s">
        <v>128</v>
      </c>
      <c r="F32" s="8" t="s">
        <v>35</v>
      </c>
      <c r="G32" s="9" t="s">
        <v>309</v>
      </c>
      <c r="H32" s="9" t="s">
        <v>318</v>
      </c>
      <c r="I32" s="10" t="s">
        <v>319</v>
      </c>
      <c r="J32" s="10"/>
      <c r="K32" s="8" t="str">
        <f>"235,0"</f>
        <v>235,0</v>
      </c>
      <c r="L32" s="9" t="str">
        <f>"131,8703"</f>
        <v>131,8703</v>
      </c>
      <c r="M32" s="8" t="s">
        <v>129</v>
      </c>
    </row>
    <row r="33" spans="1:13" ht="12.75">
      <c r="A33" s="22" t="s">
        <v>321</v>
      </c>
      <c r="B33" s="22" t="s">
        <v>322</v>
      </c>
      <c r="C33" s="22" t="s">
        <v>323</v>
      </c>
      <c r="D33" s="22" t="str">
        <f>"0,5717"</f>
        <v>0,5717</v>
      </c>
      <c r="E33" s="22" t="s">
        <v>128</v>
      </c>
      <c r="F33" s="22" t="s">
        <v>35</v>
      </c>
      <c r="G33" s="24" t="s">
        <v>200</v>
      </c>
      <c r="H33" s="24" t="s">
        <v>265</v>
      </c>
      <c r="I33" s="24" t="s">
        <v>68</v>
      </c>
      <c r="J33" s="23"/>
      <c r="K33" s="22" t="str">
        <f>"200,0"</f>
        <v>200,0</v>
      </c>
      <c r="L33" s="24" t="str">
        <f>"114,3400"</f>
        <v>114,3400</v>
      </c>
      <c r="M33" s="22" t="s">
        <v>129</v>
      </c>
    </row>
    <row r="34" spans="1:13" ht="12.75">
      <c r="A34" s="11" t="s">
        <v>315</v>
      </c>
      <c r="B34" s="11" t="s">
        <v>324</v>
      </c>
      <c r="C34" s="11" t="s">
        <v>317</v>
      </c>
      <c r="D34" s="11" t="str">
        <f>"0,5612"</f>
        <v>0,5612</v>
      </c>
      <c r="E34" s="11" t="s">
        <v>128</v>
      </c>
      <c r="F34" s="11" t="s">
        <v>35</v>
      </c>
      <c r="G34" s="12" t="s">
        <v>309</v>
      </c>
      <c r="H34" s="12" t="s">
        <v>318</v>
      </c>
      <c r="I34" s="13" t="s">
        <v>319</v>
      </c>
      <c r="J34" s="13"/>
      <c r="K34" s="11" t="str">
        <f>"235,0"</f>
        <v>235,0</v>
      </c>
      <c r="L34" s="12" t="str">
        <f>"140,9693"</f>
        <v>140,9693</v>
      </c>
      <c r="M34" s="11" t="s">
        <v>129</v>
      </c>
    </row>
    <row r="36" spans="1:12" ht="15">
      <c r="A36" s="59" t="s">
        <v>133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3" ht="12.75">
      <c r="A37" s="5" t="s">
        <v>326</v>
      </c>
      <c r="B37" s="5" t="s">
        <v>327</v>
      </c>
      <c r="C37" s="5" t="s">
        <v>328</v>
      </c>
      <c r="D37" s="5" t="str">
        <f>"0,5391"</f>
        <v>0,5391</v>
      </c>
      <c r="E37" s="5" t="s">
        <v>34</v>
      </c>
      <c r="F37" s="5" t="s">
        <v>35</v>
      </c>
      <c r="G37" s="6" t="s">
        <v>329</v>
      </c>
      <c r="H37" s="7" t="s">
        <v>330</v>
      </c>
      <c r="I37" s="7"/>
      <c r="J37" s="7"/>
      <c r="K37" s="5" t="str">
        <f>"310,0"</f>
        <v>310,0</v>
      </c>
      <c r="L37" s="6" t="str">
        <f>"167,1210"</f>
        <v>167,1210</v>
      </c>
      <c r="M37" s="5" t="s">
        <v>117</v>
      </c>
    </row>
    <row r="39" spans="5:6" ht="12.75">
      <c r="E39" s="4" t="s">
        <v>88</v>
      </c>
      <c r="F39" s="4" t="s">
        <v>421</v>
      </c>
    </row>
    <row r="40" spans="5:6" ht="12.75">
      <c r="E40" s="4" t="s">
        <v>89</v>
      </c>
      <c r="F40" s="4" t="s">
        <v>422</v>
      </c>
    </row>
    <row r="41" spans="5:6" ht="12.75">
      <c r="E41" s="4" t="s">
        <v>90</v>
      </c>
      <c r="F41" s="4" t="s">
        <v>424</v>
      </c>
    </row>
    <row r="42" spans="5:6" ht="12.75">
      <c r="E42" s="4" t="s">
        <v>91</v>
      </c>
      <c r="F42" s="4" t="s">
        <v>426</v>
      </c>
    </row>
    <row r="43" spans="5:6" ht="12.75">
      <c r="E43" s="4" t="s">
        <v>91</v>
      </c>
      <c r="F43" s="4" t="s">
        <v>423</v>
      </c>
    </row>
    <row r="45" spans="1:2" ht="18">
      <c r="A45" s="15" t="s">
        <v>92</v>
      </c>
      <c r="B45" s="15"/>
    </row>
    <row r="46" spans="1:2" ht="15">
      <c r="A46" s="16" t="s">
        <v>104</v>
      </c>
      <c r="B46" s="16"/>
    </row>
    <row r="47" spans="1:2" ht="14.25">
      <c r="A47" s="18"/>
      <c r="B47" s="19" t="s">
        <v>100</v>
      </c>
    </row>
    <row r="48" spans="1:5" ht="15">
      <c r="A48" s="20" t="s">
        <v>93</v>
      </c>
      <c r="B48" s="20" t="s">
        <v>94</v>
      </c>
      <c r="C48" s="20" t="s">
        <v>95</v>
      </c>
      <c r="D48" s="20" t="s">
        <v>96</v>
      </c>
      <c r="E48" s="20" t="s">
        <v>97</v>
      </c>
    </row>
    <row r="49" spans="1:5" ht="12.75">
      <c r="A49" s="17" t="s">
        <v>278</v>
      </c>
      <c r="B49" s="4" t="s">
        <v>100</v>
      </c>
      <c r="C49" s="4" t="s">
        <v>103</v>
      </c>
      <c r="D49" s="4" t="s">
        <v>69</v>
      </c>
      <c r="E49" s="21" t="s">
        <v>331</v>
      </c>
    </row>
    <row r="50" spans="1:5" ht="12.75">
      <c r="A50" s="17" t="s">
        <v>325</v>
      </c>
      <c r="B50" s="4" t="s">
        <v>100</v>
      </c>
      <c r="C50" s="4" t="s">
        <v>137</v>
      </c>
      <c r="D50" s="4" t="s">
        <v>329</v>
      </c>
      <c r="E50" s="21" t="s">
        <v>332</v>
      </c>
    </row>
    <row r="51" spans="1:5" ht="12.75">
      <c r="A51" s="17" t="s">
        <v>290</v>
      </c>
      <c r="B51" s="4" t="s">
        <v>100</v>
      </c>
      <c r="C51" s="4" t="s">
        <v>105</v>
      </c>
      <c r="D51" s="4" t="s">
        <v>271</v>
      </c>
      <c r="E51" s="21" t="s">
        <v>333</v>
      </c>
    </row>
    <row r="52" spans="1:5" ht="12.75">
      <c r="A52" s="17" t="s">
        <v>61</v>
      </c>
      <c r="B52" s="4" t="s">
        <v>100</v>
      </c>
      <c r="C52" s="4" t="s">
        <v>99</v>
      </c>
      <c r="D52" s="4" t="s">
        <v>69</v>
      </c>
      <c r="E52" s="21" t="s">
        <v>334</v>
      </c>
    </row>
    <row r="53" spans="1:5" ht="12.75">
      <c r="A53" s="17" t="s">
        <v>295</v>
      </c>
      <c r="B53" s="4" t="s">
        <v>100</v>
      </c>
      <c r="C53" s="4" t="s">
        <v>105</v>
      </c>
      <c r="D53" s="4" t="s">
        <v>115</v>
      </c>
      <c r="E53" s="21" t="s">
        <v>335</v>
      </c>
    </row>
    <row r="54" spans="1:5" ht="12.75">
      <c r="A54" s="17" t="s">
        <v>314</v>
      </c>
      <c r="B54" s="4" t="s">
        <v>100</v>
      </c>
      <c r="C54" s="4" t="s">
        <v>122</v>
      </c>
      <c r="D54" s="4" t="s">
        <v>318</v>
      </c>
      <c r="E54" s="21" t="s">
        <v>336</v>
      </c>
    </row>
    <row r="55" spans="1:5" ht="12.75">
      <c r="A55" s="17" t="s">
        <v>305</v>
      </c>
      <c r="B55" s="4" t="s">
        <v>100</v>
      </c>
      <c r="C55" s="4" t="s">
        <v>101</v>
      </c>
      <c r="D55" s="4" t="s">
        <v>304</v>
      </c>
      <c r="E55" s="21" t="s">
        <v>337</v>
      </c>
    </row>
    <row r="56" spans="1:5" ht="12.75">
      <c r="A56" s="17" t="s">
        <v>310</v>
      </c>
      <c r="B56" s="4" t="s">
        <v>100</v>
      </c>
      <c r="C56" s="4" t="s">
        <v>101</v>
      </c>
      <c r="D56" s="4" t="s">
        <v>304</v>
      </c>
      <c r="E56" s="21" t="s">
        <v>338</v>
      </c>
    </row>
    <row r="57" spans="1:5" ht="12.75">
      <c r="A57" s="17" t="s">
        <v>283</v>
      </c>
      <c r="B57" s="4" t="s">
        <v>100</v>
      </c>
      <c r="C57" s="4" t="s">
        <v>99</v>
      </c>
      <c r="D57" s="4" t="s">
        <v>66</v>
      </c>
      <c r="E57" s="21" t="s">
        <v>339</v>
      </c>
    </row>
    <row r="58" spans="1:5" ht="12.75">
      <c r="A58" s="17" t="s">
        <v>320</v>
      </c>
      <c r="B58" s="4" t="s">
        <v>100</v>
      </c>
      <c r="C58" s="4" t="s">
        <v>122</v>
      </c>
      <c r="D58" s="4" t="s">
        <v>68</v>
      </c>
      <c r="E58" s="21" t="s">
        <v>340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36:L36"/>
    <mergeCell ref="K3:K4"/>
    <mergeCell ref="L3:L4"/>
    <mergeCell ref="M3:M4"/>
    <mergeCell ref="A5:L5"/>
    <mergeCell ref="A8:L8"/>
    <mergeCell ref="A12:L12"/>
    <mergeCell ref="A15:L15"/>
    <mergeCell ref="A19:L19"/>
    <mergeCell ref="A22:L22"/>
    <mergeCell ref="A26:L26"/>
    <mergeCell ref="A31:L3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C1">
      <selection activeCell="E15" sqref="E1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7" width="5.75390625" style="3" customWidth="1"/>
    <col min="8" max="8" width="5.25390625" style="3" customWidth="1"/>
    <col min="9" max="9" width="4.625" style="3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53" t="s">
        <v>420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413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0" t="s">
        <v>415</v>
      </c>
      <c r="L4" s="30" t="s">
        <v>416</v>
      </c>
      <c r="M4" s="30" t="s">
        <v>417</v>
      </c>
      <c r="N4" s="30" t="s">
        <v>5</v>
      </c>
      <c r="O4" s="39"/>
      <c r="P4" s="39"/>
      <c r="Q4" s="41"/>
    </row>
    <row r="5" spans="1:16" ht="15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5" t="s">
        <v>414</v>
      </c>
      <c r="B6" s="5" t="s">
        <v>203</v>
      </c>
      <c r="C6" s="5" t="s">
        <v>204</v>
      </c>
      <c r="D6" s="5" t="str">
        <f>"0,5853"</f>
        <v>0,5853</v>
      </c>
      <c r="E6" s="5" t="s">
        <v>53</v>
      </c>
      <c r="F6" s="5" t="s">
        <v>205</v>
      </c>
      <c r="G6" s="6" t="s">
        <v>66</v>
      </c>
      <c r="H6" s="6" t="s">
        <v>75</v>
      </c>
      <c r="I6" s="7" t="s">
        <v>200</v>
      </c>
      <c r="J6" s="7"/>
      <c r="K6" s="6" t="s">
        <v>55</v>
      </c>
      <c r="L6" s="6" t="s">
        <v>418</v>
      </c>
      <c r="M6" s="6" t="s">
        <v>419</v>
      </c>
      <c r="N6" s="7"/>
      <c r="O6" s="5"/>
      <c r="P6" s="6"/>
      <c r="Q6" s="5" t="s">
        <v>206</v>
      </c>
    </row>
    <row r="9" spans="5:6" ht="12.75">
      <c r="E9" s="4" t="s">
        <v>88</v>
      </c>
      <c r="F9" s="4" t="s">
        <v>421</v>
      </c>
    </row>
    <row r="10" spans="5:6" ht="12.75">
      <c r="E10" s="4" t="s">
        <v>89</v>
      </c>
      <c r="F10" s="4" t="s">
        <v>422</v>
      </c>
    </row>
    <row r="11" spans="5:6" ht="12.75">
      <c r="E11" s="4" t="s">
        <v>90</v>
      </c>
      <c r="F11" s="4" t="s">
        <v>424</v>
      </c>
    </row>
    <row r="12" spans="5:6" ht="12.75">
      <c r="E12" s="4" t="s">
        <v>91</v>
      </c>
      <c r="F12" s="4" t="s">
        <v>426</v>
      </c>
    </row>
    <row r="13" spans="5:6" ht="12.75">
      <c r="E13" s="4" t="s">
        <v>91</v>
      </c>
      <c r="F13" s="4" t="s">
        <v>423</v>
      </c>
    </row>
    <row r="17" spans="1:16" s="4" customFormat="1" ht="18">
      <c r="A17" s="15"/>
      <c r="B17" s="15"/>
      <c r="G17" s="3"/>
      <c r="H17" s="3"/>
      <c r="I17" s="3"/>
      <c r="J17" s="3"/>
      <c r="K17" s="3"/>
      <c r="L17" s="3"/>
      <c r="M17" s="3"/>
      <c r="N17" s="3"/>
      <c r="P17" s="3"/>
    </row>
    <row r="18" spans="1:16" s="4" customFormat="1" ht="15">
      <c r="A18" s="16"/>
      <c r="B18" s="16"/>
      <c r="G18" s="3"/>
      <c r="H18" s="3"/>
      <c r="I18" s="3"/>
      <c r="J18" s="3"/>
      <c r="K18" s="3"/>
      <c r="L18" s="3"/>
      <c r="M18" s="3"/>
      <c r="N18" s="3"/>
      <c r="P18" s="3"/>
    </row>
    <row r="19" spans="1:16" s="4" customFormat="1" ht="14.25">
      <c r="A19" s="18"/>
      <c r="B19" s="19"/>
      <c r="G19" s="3"/>
      <c r="H19" s="3"/>
      <c r="I19" s="3"/>
      <c r="J19" s="3"/>
      <c r="K19" s="3"/>
      <c r="L19" s="3"/>
      <c r="M19" s="3"/>
      <c r="N19" s="3"/>
      <c r="P19" s="3"/>
    </row>
    <row r="20" spans="1:16" s="4" customFormat="1" ht="15">
      <c r="A20" s="1"/>
      <c r="B20" s="1"/>
      <c r="C20" s="1"/>
      <c r="D20" s="1"/>
      <c r="E20" s="1"/>
      <c r="G20" s="3"/>
      <c r="H20" s="3"/>
      <c r="I20" s="3"/>
      <c r="J20" s="3"/>
      <c r="K20" s="3"/>
      <c r="L20" s="3"/>
      <c r="M20" s="3"/>
      <c r="N20" s="3"/>
      <c r="P20" s="3"/>
    </row>
    <row r="21" spans="1:16" s="4" customFormat="1" ht="12.75">
      <c r="A21" s="17"/>
      <c r="E21" s="21"/>
      <c r="G21" s="3"/>
      <c r="H21" s="3"/>
      <c r="I21" s="3"/>
      <c r="J21" s="3"/>
      <c r="K21" s="3"/>
      <c r="L21" s="3"/>
      <c r="M21" s="3"/>
      <c r="N21" s="3"/>
      <c r="P21" s="3"/>
    </row>
    <row r="22" spans="1:16" s="4" customFormat="1" ht="12.75">
      <c r="A22" s="17"/>
      <c r="E22" s="21"/>
      <c r="G22" s="3"/>
      <c r="H22" s="3"/>
      <c r="I22" s="3"/>
      <c r="J22" s="3"/>
      <c r="K22" s="3"/>
      <c r="L22" s="3"/>
      <c r="M22" s="3"/>
      <c r="N22" s="3"/>
      <c r="P22" s="3"/>
    </row>
  </sheetData>
  <sheetProtection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75390625" style="4" bestFit="1" customWidth="1"/>
    <col min="14" max="16384" width="9.125" style="3" customWidth="1"/>
  </cols>
  <sheetData>
    <row r="1" spans="1:13" s="2" customFormat="1" ht="28.5" customHeight="1">
      <c r="A1" s="53" t="s">
        <v>260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261</v>
      </c>
      <c r="B6" s="5" t="s">
        <v>262</v>
      </c>
      <c r="C6" s="5" t="s">
        <v>263</v>
      </c>
      <c r="D6" s="5" t="str">
        <f>"0,6222"</f>
        <v>0,6222</v>
      </c>
      <c r="E6" s="5" t="s">
        <v>53</v>
      </c>
      <c r="F6" s="5" t="s">
        <v>264</v>
      </c>
      <c r="G6" s="6" t="s">
        <v>265</v>
      </c>
      <c r="H6" s="6" t="s">
        <v>266</v>
      </c>
      <c r="I6" s="7" t="s">
        <v>69</v>
      </c>
      <c r="J6" s="7"/>
      <c r="K6" s="5" t="str">
        <f>"195,0"</f>
        <v>195,0</v>
      </c>
      <c r="L6" s="6" t="str">
        <f>"121,3193"</f>
        <v>121,3193</v>
      </c>
      <c r="M6" s="5" t="s">
        <v>267</v>
      </c>
    </row>
    <row r="8" spans="1:12" ht="15">
      <c r="A8" s="59" t="s">
        <v>133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.75">
      <c r="A9" s="5" t="s">
        <v>268</v>
      </c>
      <c r="B9" s="5" t="s">
        <v>269</v>
      </c>
      <c r="C9" s="5" t="s">
        <v>270</v>
      </c>
      <c r="D9" s="5" t="str">
        <f>"0,5427"</f>
        <v>0,5427</v>
      </c>
      <c r="E9" s="5" t="s">
        <v>53</v>
      </c>
      <c r="F9" s="5" t="s">
        <v>264</v>
      </c>
      <c r="G9" s="6" t="s">
        <v>271</v>
      </c>
      <c r="H9" s="7" t="s">
        <v>102</v>
      </c>
      <c r="I9" s="7" t="s">
        <v>102</v>
      </c>
      <c r="J9" s="7"/>
      <c r="K9" s="5" t="str">
        <f>"255,0"</f>
        <v>255,0</v>
      </c>
      <c r="L9" s="6" t="str">
        <f>"138,3885"</f>
        <v>138,3885</v>
      </c>
      <c r="M9" s="5" t="s">
        <v>272</v>
      </c>
    </row>
    <row r="11" spans="5:6" ht="12.75">
      <c r="E11" s="4" t="s">
        <v>88</v>
      </c>
      <c r="F11" s="4" t="s">
        <v>421</v>
      </c>
    </row>
    <row r="12" spans="5:6" ht="12.75">
      <c r="E12" s="4" t="s">
        <v>89</v>
      </c>
      <c r="F12" s="4" t="s">
        <v>422</v>
      </c>
    </row>
    <row r="13" spans="5:6" ht="12.75">
      <c r="E13" s="4" t="s">
        <v>90</v>
      </c>
      <c r="F13" s="4" t="s">
        <v>424</v>
      </c>
    </row>
    <row r="14" spans="5:6" ht="12.75">
      <c r="E14" s="4" t="s">
        <v>91</v>
      </c>
      <c r="F14" s="4" t="s">
        <v>426</v>
      </c>
    </row>
    <row r="15" spans="5:6" ht="12.75">
      <c r="E15" s="4" t="s">
        <v>91</v>
      </c>
      <c r="F15" s="4" t="s">
        <v>423</v>
      </c>
    </row>
    <row r="19" spans="1:2" ht="18">
      <c r="A19" s="15"/>
      <c r="B19" s="15"/>
    </row>
    <row r="20" spans="1:2" ht="15">
      <c r="A20" s="16"/>
      <c r="B20" s="16"/>
    </row>
    <row r="21" spans="1:2" ht="14.25">
      <c r="A21" s="18"/>
      <c r="B21" s="19"/>
    </row>
    <row r="22" spans="1:5" ht="15">
      <c r="A22" s="1"/>
      <c r="B22" s="1"/>
      <c r="C22" s="1"/>
      <c r="D22" s="1"/>
      <c r="E22" s="1"/>
    </row>
    <row r="23" spans="1:5" ht="12.75">
      <c r="A23" s="17"/>
      <c r="E23" s="21"/>
    </row>
    <row r="24" spans="1:5" ht="12.75">
      <c r="A24" s="17"/>
      <c r="E24" s="21"/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3" t="s">
        <v>254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133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255</v>
      </c>
      <c r="B6" s="5" t="s">
        <v>256</v>
      </c>
      <c r="C6" s="5" t="s">
        <v>257</v>
      </c>
      <c r="D6" s="5" t="str">
        <f>"0,5502"</f>
        <v>0,5502</v>
      </c>
      <c r="E6" s="5" t="s">
        <v>128</v>
      </c>
      <c r="F6" s="5" t="s">
        <v>19</v>
      </c>
      <c r="G6" s="6" t="s">
        <v>200</v>
      </c>
      <c r="H6" s="6" t="s">
        <v>258</v>
      </c>
      <c r="I6" s="6" t="s">
        <v>259</v>
      </c>
      <c r="J6" s="7"/>
      <c r="K6" s="5" t="str">
        <f>"182,5"</f>
        <v>182,5</v>
      </c>
      <c r="L6" s="6" t="str">
        <f>"100,4115"</f>
        <v>100,4115</v>
      </c>
      <c r="M6" s="5" t="s">
        <v>129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C13">
      <selection activeCell="A12" sqref="A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53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143</v>
      </c>
      <c r="B6" s="5" t="s">
        <v>144</v>
      </c>
      <c r="C6" s="5" t="s">
        <v>145</v>
      </c>
      <c r="D6" s="5" t="str">
        <f>"0,9754"</f>
        <v>0,9754</v>
      </c>
      <c r="E6" s="5" t="s">
        <v>110</v>
      </c>
      <c r="F6" s="5" t="s">
        <v>35</v>
      </c>
      <c r="G6" s="6" t="s">
        <v>37</v>
      </c>
      <c r="H6" s="6" t="s">
        <v>24</v>
      </c>
      <c r="I6" s="7" t="s">
        <v>25</v>
      </c>
      <c r="J6" s="7"/>
      <c r="K6" s="5" t="str">
        <f>"45,0"</f>
        <v>45,0</v>
      </c>
      <c r="L6" s="6" t="str">
        <f>"43,8952"</f>
        <v>43,8952</v>
      </c>
      <c r="M6" s="5" t="s">
        <v>146</v>
      </c>
    </row>
    <row r="8" spans="1:12" ht="15">
      <c r="A8" s="59" t="s">
        <v>147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.75">
      <c r="A9" s="5" t="s">
        <v>148</v>
      </c>
      <c r="B9" s="5" t="s">
        <v>149</v>
      </c>
      <c r="C9" s="5" t="s">
        <v>150</v>
      </c>
      <c r="D9" s="5" t="str">
        <f>"0,9215"</f>
        <v>0,9215</v>
      </c>
      <c r="E9" s="5" t="s">
        <v>110</v>
      </c>
      <c r="F9" s="5" t="s">
        <v>35</v>
      </c>
      <c r="G9" s="6" t="s">
        <v>151</v>
      </c>
      <c r="H9" s="6" t="s">
        <v>152</v>
      </c>
      <c r="I9" s="7" t="s">
        <v>45</v>
      </c>
      <c r="J9" s="7"/>
      <c r="K9" s="5" t="str">
        <f>"57,5"</f>
        <v>57,5</v>
      </c>
      <c r="L9" s="6" t="str">
        <f>"52,9863"</f>
        <v>52,9863</v>
      </c>
      <c r="M9" s="5" t="s">
        <v>146</v>
      </c>
    </row>
    <row r="11" spans="1:12" ht="15">
      <c r="A11" s="59" t="s">
        <v>30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ht="12.75">
      <c r="A12" s="5" t="s">
        <v>153</v>
      </c>
      <c r="B12" s="5" t="s">
        <v>154</v>
      </c>
      <c r="C12" s="5" t="s">
        <v>155</v>
      </c>
      <c r="D12" s="5" t="str">
        <f>"0,8986"</f>
        <v>0,8986</v>
      </c>
      <c r="E12" s="5" t="s">
        <v>156</v>
      </c>
      <c r="F12" s="5" t="s">
        <v>35</v>
      </c>
      <c r="G12" s="6" t="s">
        <v>45</v>
      </c>
      <c r="H12" s="6" t="s">
        <v>46</v>
      </c>
      <c r="I12" s="7" t="s">
        <v>157</v>
      </c>
      <c r="J12" s="7"/>
      <c r="K12" s="5" t="str">
        <f>"62,5"</f>
        <v>62,5</v>
      </c>
      <c r="L12" s="6" t="str">
        <f>"104,7489"</f>
        <v>104,7489</v>
      </c>
      <c r="M12" s="5" t="s">
        <v>158</v>
      </c>
    </row>
    <row r="14" spans="1:12" ht="15">
      <c r="A14" s="59" t="s">
        <v>39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3" ht="12.75">
      <c r="A15" s="8" t="s">
        <v>159</v>
      </c>
      <c r="B15" s="8" t="s">
        <v>160</v>
      </c>
      <c r="C15" s="8" t="s">
        <v>161</v>
      </c>
      <c r="D15" s="8" t="str">
        <f>"0,8084"</f>
        <v>0,8084</v>
      </c>
      <c r="E15" s="8" t="s">
        <v>18</v>
      </c>
      <c r="F15" s="8" t="s">
        <v>19</v>
      </c>
      <c r="G15" s="9" t="s">
        <v>45</v>
      </c>
      <c r="H15" s="9" t="s">
        <v>157</v>
      </c>
      <c r="I15" s="9" t="s">
        <v>162</v>
      </c>
      <c r="J15" s="10"/>
      <c r="K15" s="8" t="str">
        <f>"67,5"</f>
        <v>67,5</v>
      </c>
      <c r="L15" s="9" t="str">
        <f>"54,5670"</f>
        <v>54,5670</v>
      </c>
      <c r="M15" s="8" t="s">
        <v>76</v>
      </c>
    </row>
    <row r="16" spans="1:13" ht="12.75">
      <c r="A16" s="11" t="s">
        <v>163</v>
      </c>
      <c r="B16" s="11" t="s">
        <v>164</v>
      </c>
      <c r="C16" s="11" t="s">
        <v>165</v>
      </c>
      <c r="D16" s="11" t="str">
        <f>"0,7887"</f>
        <v>0,7887</v>
      </c>
      <c r="E16" s="11" t="s">
        <v>110</v>
      </c>
      <c r="F16" s="11" t="s">
        <v>35</v>
      </c>
      <c r="G16" s="12" t="s">
        <v>37</v>
      </c>
      <c r="H16" s="12" t="s">
        <v>24</v>
      </c>
      <c r="I16" s="13" t="s">
        <v>25</v>
      </c>
      <c r="J16" s="13"/>
      <c r="K16" s="11" t="str">
        <f>"45,0"</f>
        <v>45,0</v>
      </c>
      <c r="L16" s="12" t="str">
        <f>"38,7567"</f>
        <v>38,7567</v>
      </c>
      <c r="M16" s="11" t="s">
        <v>146</v>
      </c>
    </row>
    <row r="18" spans="1:12" ht="15">
      <c r="A18" s="59" t="s">
        <v>147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3" ht="12.75">
      <c r="A19" s="5" t="s">
        <v>166</v>
      </c>
      <c r="B19" s="5" t="s">
        <v>167</v>
      </c>
      <c r="C19" s="5" t="s">
        <v>168</v>
      </c>
      <c r="D19" s="5" t="str">
        <f>"0,8809"</f>
        <v>0,8809</v>
      </c>
      <c r="E19" s="5" t="s">
        <v>34</v>
      </c>
      <c r="F19" s="5" t="s">
        <v>169</v>
      </c>
      <c r="G19" s="6" t="s">
        <v>55</v>
      </c>
      <c r="H19" s="7" t="s">
        <v>27</v>
      </c>
      <c r="I19" s="7" t="s">
        <v>27</v>
      </c>
      <c r="J19" s="7"/>
      <c r="K19" s="5" t="str">
        <f>"90,0"</f>
        <v>90,0</v>
      </c>
      <c r="L19" s="6" t="str">
        <f>"89,5824"</f>
        <v>89,5824</v>
      </c>
      <c r="M19" s="5" t="s">
        <v>170</v>
      </c>
    </row>
    <row r="21" spans="1:12" ht="15">
      <c r="A21" s="59" t="s">
        <v>171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3" ht="12.75">
      <c r="A22" s="8" t="s">
        <v>173</v>
      </c>
      <c r="B22" s="8" t="s">
        <v>174</v>
      </c>
      <c r="C22" s="8" t="s">
        <v>175</v>
      </c>
      <c r="D22" s="8" t="str">
        <f>"0,6851"</f>
        <v>0,6851</v>
      </c>
      <c r="E22" s="8" t="s">
        <v>18</v>
      </c>
      <c r="F22" s="8" t="s">
        <v>19</v>
      </c>
      <c r="G22" s="9" t="s">
        <v>47</v>
      </c>
      <c r="H22" s="9" t="s">
        <v>176</v>
      </c>
      <c r="I22" s="9" t="s">
        <v>48</v>
      </c>
      <c r="J22" s="10"/>
      <c r="K22" s="8" t="str">
        <f>"112,5"</f>
        <v>112,5</v>
      </c>
      <c r="L22" s="9" t="str">
        <f>"77,0738"</f>
        <v>77,0738</v>
      </c>
      <c r="M22" s="8" t="s">
        <v>29</v>
      </c>
    </row>
    <row r="23" spans="1:13" ht="12.75">
      <c r="A23" s="11" t="s">
        <v>177</v>
      </c>
      <c r="B23" s="11" t="s">
        <v>178</v>
      </c>
      <c r="C23" s="11" t="s">
        <v>179</v>
      </c>
      <c r="D23" s="11" t="str">
        <f>"0,6694"</f>
        <v>0,6694</v>
      </c>
      <c r="E23" s="11" t="s">
        <v>34</v>
      </c>
      <c r="F23" s="11" t="s">
        <v>35</v>
      </c>
      <c r="G23" s="13" t="s">
        <v>80</v>
      </c>
      <c r="H23" s="13" t="s">
        <v>81</v>
      </c>
      <c r="I23" s="13" t="s">
        <v>81</v>
      </c>
      <c r="J23" s="13"/>
      <c r="K23" s="11" t="str">
        <f>"0.00"</f>
        <v>0.00</v>
      </c>
      <c r="L23" s="12" t="str">
        <f>"0,0000"</f>
        <v>0,0000</v>
      </c>
      <c r="M23" s="11" t="s">
        <v>180</v>
      </c>
    </row>
    <row r="25" spans="1:12" ht="15">
      <c r="A25" s="59" t="s">
        <v>70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ht="12.75">
      <c r="A26" s="5" t="s">
        <v>182</v>
      </c>
      <c r="B26" s="5" t="s">
        <v>183</v>
      </c>
      <c r="C26" s="5" t="s">
        <v>184</v>
      </c>
      <c r="D26" s="5" t="str">
        <f>"0,6195"</f>
        <v>0,6195</v>
      </c>
      <c r="E26" s="5" t="s">
        <v>53</v>
      </c>
      <c r="F26" s="5" t="s">
        <v>35</v>
      </c>
      <c r="G26" s="6" t="s">
        <v>185</v>
      </c>
      <c r="H26" s="6" t="s">
        <v>186</v>
      </c>
      <c r="I26" s="7" t="s">
        <v>66</v>
      </c>
      <c r="J26" s="7"/>
      <c r="K26" s="5" t="str">
        <f>"147,5"</f>
        <v>147,5</v>
      </c>
      <c r="L26" s="6" t="str">
        <f>"92,2975"</f>
        <v>92,2975</v>
      </c>
      <c r="M26" s="5" t="s">
        <v>187</v>
      </c>
    </row>
    <row r="28" spans="1:12" ht="15">
      <c r="A28" s="59" t="s">
        <v>49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3" ht="12.75">
      <c r="A29" s="8" t="s">
        <v>189</v>
      </c>
      <c r="B29" s="8" t="s">
        <v>190</v>
      </c>
      <c r="C29" s="8" t="s">
        <v>191</v>
      </c>
      <c r="D29" s="8" t="str">
        <f>"0,5912"</f>
        <v>0,5912</v>
      </c>
      <c r="E29" s="8" t="s">
        <v>34</v>
      </c>
      <c r="F29" s="8" t="s">
        <v>35</v>
      </c>
      <c r="G29" s="9" t="s">
        <v>65</v>
      </c>
      <c r="H29" s="9" t="s">
        <v>192</v>
      </c>
      <c r="I29" s="9" t="s">
        <v>75</v>
      </c>
      <c r="J29" s="10"/>
      <c r="K29" s="8" t="str">
        <f>"162,5"</f>
        <v>162,5</v>
      </c>
      <c r="L29" s="9" t="str">
        <f>"97,0307"</f>
        <v>97,0307</v>
      </c>
      <c r="M29" s="8" t="s">
        <v>193</v>
      </c>
    </row>
    <row r="30" spans="1:13" ht="12.75">
      <c r="A30" s="22" t="s">
        <v>195</v>
      </c>
      <c r="B30" s="22" t="s">
        <v>196</v>
      </c>
      <c r="C30" s="22" t="s">
        <v>197</v>
      </c>
      <c r="D30" s="22" t="str">
        <f>"0,5928"</f>
        <v>0,5928</v>
      </c>
      <c r="E30" s="22" t="s">
        <v>53</v>
      </c>
      <c r="F30" s="22" t="s">
        <v>35</v>
      </c>
      <c r="G30" s="24" t="s">
        <v>198</v>
      </c>
      <c r="H30" s="24" t="s">
        <v>199</v>
      </c>
      <c r="I30" s="24" t="s">
        <v>200</v>
      </c>
      <c r="J30" s="23"/>
      <c r="K30" s="22" t="str">
        <f>"170,0"</f>
        <v>170,0</v>
      </c>
      <c r="L30" s="24" t="str">
        <f>"100,7760"</f>
        <v>100,7760</v>
      </c>
      <c r="M30" s="22" t="s">
        <v>117</v>
      </c>
    </row>
    <row r="31" spans="1:13" ht="12.75">
      <c r="A31" s="22" t="s">
        <v>202</v>
      </c>
      <c r="B31" s="22" t="s">
        <v>203</v>
      </c>
      <c r="C31" s="22" t="s">
        <v>204</v>
      </c>
      <c r="D31" s="22" t="str">
        <f>"0,5853"</f>
        <v>0,5853</v>
      </c>
      <c r="E31" s="22" t="s">
        <v>53</v>
      </c>
      <c r="F31" s="22" t="s">
        <v>205</v>
      </c>
      <c r="G31" s="24" t="s">
        <v>66</v>
      </c>
      <c r="H31" s="24" t="s">
        <v>75</v>
      </c>
      <c r="I31" s="23" t="s">
        <v>200</v>
      </c>
      <c r="J31" s="23"/>
      <c r="K31" s="22" t="str">
        <f>"162,5"</f>
        <v>162,5</v>
      </c>
      <c r="L31" s="24" t="str">
        <f>"95,1113"</f>
        <v>95,1113</v>
      </c>
      <c r="M31" s="22" t="s">
        <v>206</v>
      </c>
    </row>
    <row r="32" spans="1:13" ht="12.75">
      <c r="A32" s="22" t="s">
        <v>207</v>
      </c>
      <c r="B32" s="22" t="s">
        <v>208</v>
      </c>
      <c r="C32" s="22" t="s">
        <v>209</v>
      </c>
      <c r="D32" s="22" t="str">
        <f>"0,5891"</f>
        <v>0,5891</v>
      </c>
      <c r="E32" s="22" t="s">
        <v>34</v>
      </c>
      <c r="F32" s="22" t="s">
        <v>210</v>
      </c>
      <c r="G32" s="23" t="s">
        <v>82</v>
      </c>
      <c r="H32" s="23" t="s">
        <v>82</v>
      </c>
      <c r="I32" s="23" t="s">
        <v>82</v>
      </c>
      <c r="J32" s="23"/>
      <c r="K32" s="22" t="str">
        <f>"0.00"</f>
        <v>0.00</v>
      </c>
      <c r="L32" s="24" t="str">
        <f>"0,0000"</f>
        <v>0,0000</v>
      </c>
      <c r="M32" s="22" t="s">
        <v>117</v>
      </c>
    </row>
    <row r="33" spans="1:13" ht="12.75">
      <c r="A33" s="22" t="s">
        <v>211</v>
      </c>
      <c r="B33" s="22" t="s">
        <v>212</v>
      </c>
      <c r="C33" s="22" t="s">
        <v>213</v>
      </c>
      <c r="D33" s="22" t="str">
        <f>"0,5887"</f>
        <v>0,5887</v>
      </c>
      <c r="E33" s="22" t="s">
        <v>53</v>
      </c>
      <c r="F33" s="22" t="s">
        <v>214</v>
      </c>
      <c r="G33" s="23" t="s">
        <v>66</v>
      </c>
      <c r="H33" s="23" t="s">
        <v>66</v>
      </c>
      <c r="I33" s="23" t="s">
        <v>66</v>
      </c>
      <c r="J33" s="23"/>
      <c r="K33" s="22" t="str">
        <f>"0.00"</f>
        <v>0.00</v>
      </c>
      <c r="L33" s="24" t="str">
        <f>"0,0000"</f>
        <v>0,0000</v>
      </c>
      <c r="M33" s="22" t="s">
        <v>117</v>
      </c>
    </row>
    <row r="34" spans="1:13" ht="12.75">
      <c r="A34" s="11" t="s">
        <v>215</v>
      </c>
      <c r="B34" s="11" t="s">
        <v>216</v>
      </c>
      <c r="C34" s="11" t="s">
        <v>217</v>
      </c>
      <c r="D34" s="11" t="str">
        <f>"0,5995"</f>
        <v>0,5995</v>
      </c>
      <c r="E34" s="11" t="s">
        <v>34</v>
      </c>
      <c r="F34" s="11" t="s">
        <v>35</v>
      </c>
      <c r="G34" s="12" t="s">
        <v>82</v>
      </c>
      <c r="H34" s="12" t="s">
        <v>58</v>
      </c>
      <c r="I34" s="12" t="s">
        <v>218</v>
      </c>
      <c r="J34" s="13"/>
      <c r="K34" s="11" t="str">
        <f>"135,0"</f>
        <v>135,0</v>
      </c>
      <c r="L34" s="12" t="str">
        <f>"81,1753"</f>
        <v>81,1753</v>
      </c>
      <c r="M34" s="11" t="s">
        <v>219</v>
      </c>
    </row>
    <row r="36" spans="1:12" ht="15">
      <c r="A36" s="59" t="s">
        <v>118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3" ht="12.75">
      <c r="A37" s="8" t="s">
        <v>221</v>
      </c>
      <c r="B37" s="8" t="s">
        <v>222</v>
      </c>
      <c r="C37" s="8" t="s">
        <v>223</v>
      </c>
      <c r="D37" s="8" t="str">
        <f>"0,5558"</f>
        <v>0,5558</v>
      </c>
      <c r="E37" s="8" t="s">
        <v>34</v>
      </c>
      <c r="F37" s="8" t="s">
        <v>35</v>
      </c>
      <c r="G37" s="9" t="s">
        <v>192</v>
      </c>
      <c r="H37" s="9" t="s">
        <v>75</v>
      </c>
      <c r="I37" s="9" t="s">
        <v>199</v>
      </c>
      <c r="J37" s="10"/>
      <c r="K37" s="8" t="str">
        <f>"165,0"</f>
        <v>165,0</v>
      </c>
      <c r="L37" s="9" t="str">
        <f>"93,5411"</f>
        <v>93,5411</v>
      </c>
      <c r="M37" s="8" t="s">
        <v>224</v>
      </c>
    </row>
    <row r="38" spans="1:13" ht="12.75">
      <c r="A38" s="22" t="s">
        <v>226</v>
      </c>
      <c r="B38" s="22" t="s">
        <v>227</v>
      </c>
      <c r="C38" s="22" t="s">
        <v>228</v>
      </c>
      <c r="D38" s="22" t="str">
        <f>"0,5601"</f>
        <v>0,5601</v>
      </c>
      <c r="E38" s="22" t="s">
        <v>53</v>
      </c>
      <c r="F38" s="22" t="s">
        <v>210</v>
      </c>
      <c r="G38" s="24" t="s">
        <v>59</v>
      </c>
      <c r="H38" s="23" t="s">
        <v>186</v>
      </c>
      <c r="I38" s="23" t="s">
        <v>186</v>
      </c>
      <c r="J38" s="23"/>
      <c r="K38" s="22" t="str">
        <f>"142,5"</f>
        <v>142,5</v>
      </c>
      <c r="L38" s="24" t="str">
        <f>"79,8071"</f>
        <v>79,8071</v>
      </c>
      <c r="M38" s="22" t="s">
        <v>117</v>
      </c>
    </row>
    <row r="39" spans="1:13" ht="12.75">
      <c r="A39" s="22" t="s">
        <v>230</v>
      </c>
      <c r="B39" s="22" t="s">
        <v>231</v>
      </c>
      <c r="C39" s="22" t="s">
        <v>232</v>
      </c>
      <c r="D39" s="22" t="str">
        <f>"0,5638"</f>
        <v>0,5638</v>
      </c>
      <c r="E39" s="22" t="s">
        <v>110</v>
      </c>
      <c r="F39" s="22" t="s">
        <v>35</v>
      </c>
      <c r="G39" s="24" t="s">
        <v>82</v>
      </c>
      <c r="H39" s="24" t="s">
        <v>233</v>
      </c>
      <c r="I39" s="23" t="s">
        <v>59</v>
      </c>
      <c r="J39" s="23"/>
      <c r="K39" s="22" t="str">
        <f>"132,5"</f>
        <v>132,5</v>
      </c>
      <c r="L39" s="24" t="str">
        <f>"74,6969"</f>
        <v>74,6969</v>
      </c>
      <c r="M39" s="22" t="s">
        <v>146</v>
      </c>
    </row>
    <row r="40" spans="1:13" ht="12.75">
      <c r="A40" s="11" t="s">
        <v>234</v>
      </c>
      <c r="B40" s="11" t="s">
        <v>235</v>
      </c>
      <c r="C40" s="11" t="s">
        <v>236</v>
      </c>
      <c r="D40" s="11" t="str">
        <f>"0,5691"</f>
        <v>0,5691</v>
      </c>
      <c r="E40" s="11" t="s">
        <v>53</v>
      </c>
      <c r="F40" s="11" t="s">
        <v>35</v>
      </c>
      <c r="G40" s="12" t="s">
        <v>237</v>
      </c>
      <c r="H40" s="12" t="s">
        <v>65</v>
      </c>
      <c r="I40" s="12" t="s">
        <v>66</v>
      </c>
      <c r="J40" s="13"/>
      <c r="K40" s="11" t="str">
        <f>"155,0"</f>
        <v>155,0</v>
      </c>
      <c r="L40" s="12" t="str">
        <f>"90,9450"</f>
        <v>90,9450</v>
      </c>
      <c r="M40" s="11" t="s">
        <v>117</v>
      </c>
    </row>
    <row r="42" spans="1:12" ht="15">
      <c r="A42" s="59" t="s">
        <v>133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3" ht="12.75">
      <c r="A43" s="5" t="s">
        <v>239</v>
      </c>
      <c r="B43" s="5" t="s">
        <v>240</v>
      </c>
      <c r="C43" s="5" t="s">
        <v>241</v>
      </c>
      <c r="D43" s="5" t="str">
        <f>"0,5396"</f>
        <v>0,5396</v>
      </c>
      <c r="E43" s="5" t="s">
        <v>53</v>
      </c>
      <c r="F43" s="5" t="s">
        <v>35</v>
      </c>
      <c r="G43" s="6" t="s">
        <v>198</v>
      </c>
      <c r="H43" s="6" t="s">
        <v>242</v>
      </c>
      <c r="I43" s="6" t="s">
        <v>243</v>
      </c>
      <c r="J43" s="7"/>
      <c r="K43" s="5" t="str">
        <f>"172,5"</f>
        <v>172,5</v>
      </c>
      <c r="L43" s="6" t="str">
        <f>"93,0724"</f>
        <v>93,0724</v>
      </c>
      <c r="M43" s="5" t="s">
        <v>117</v>
      </c>
    </row>
    <row r="45" spans="5:6" ht="12.75">
      <c r="E45" s="4" t="s">
        <v>88</v>
      </c>
      <c r="F45" s="4" t="s">
        <v>421</v>
      </c>
    </row>
    <row r="46" spans="5:6" ht="12.75">
      <c r="E46" s="4" t="s">
        <v>89</v>
      </c>
      <c r="F46" s="4" t="s">
        <v>422</v>
      </c>
    </row>
    <row r="47" spans="5:6" ht="12.75">
      <c r="E47" s="4" t="s">
        <v>90</v>
      </c>
      <c r="F47" s="4" t="s">
        <v>424</v>
      </c>
    </row>
    <row r="48" spans="5:6" ht="12.75">
      <c r="E48" s="4" t="s">
        <v>91</v>
      </c>
      <c r="F48" s="4" t="s">
        <v>426</v>
      </c>
    </row>
    <row r="49" spans="5:6" ht="12.75">
      <c r="E49" s="4" t="s">
        <v>91</v>
      </c>
      <c r="F49" s="4" t="s">
        <v>423</v>
      </c>
    </row>
    <row r="51" ht="15">
      <c r="E51" s="14"/>
    </row>
    <row r="53" spans="1:2" ht="18">
      <c r="A53" s="15" t="s">
        <v>92</v>
      </c>
      <c r="B53" s="15"/>
    </row>
    <row r="54" spans="1:2" ht="15">
      <c r="A54" s="16" t="s">
        <v>104</v>
      </c>
      <c r="B54" s="16"/>
    </row>
    <row r="55" spans="1:5" ht="12.75">
      <c r="A55" s="17" t="s">
        <v>194</v>
      </c>
      <c r="B55" s="4" t="s">
        <v>100</v>
      </c>
      <c r="C55" s="4" t="s">
        <v>101</v>
      </c>
      <c r="D55" s="4" t="s">
        <v>200</v>
      </c>
      <c r="E55" s="21" t="s">
        <v>247</v>
      </c>
    </row>
    <row r="56" spans="1:5" ht="12.75">
      <c r="A56" s="17" t="s">
        <v>188</v>
      </c>
      <c r="B56" s="4" t="s">
        <v>98</v>
      </c>
      <c r="C56" s="4" t="s">
        <v>101</v>
      </c>
      <c r="D56" s="4" t="s">
        <v>75</v>
      </c>
      <c r="E56" s="21" t="s">
        <v>244</v>
      </c>
    </row>
    <row r="57" spans="1:5" ht="12.75">
      <c r="A57" s="17" t="s">
        <v>201</v>
      </c>
      <c r="B57" s="4" t="s">
        <v>100</v>
      </c>
      <c r="C57" s="4" t="s">
        <v>101</v>
      </c>
      <c r="D57" s="4" t="s">
        <v>75</v>
      </c>
      <c r="E57" s="21" t="s">
        <v>248</v>
      </c>
    </row>
    <row r="58" spans="1:5" ht="12.75">
      <c r="A58" s="17" t="s">
        <v>220</v>
      </c>
      <c r="B58" s="4" t="s">
        <v>98</v>
      </c>
      <c r="C58" s="4" t="s">
        <v>122</v>
      </c>
      <c r="D58" s="4" t="s">
        <v>199</v>
      </c>
      <c r="E58" s="21" t="s">
        <v>245</v>
      </c>
    </row>
    <row r="59" spans="1:5" ht="12.75">
      <c r="A59" s="17" t="s">
        <v>238</v>
      </c>
      <c r="B59" s="4" t="s">
        <v>100</v>
      </c>
      <c r="C59" s="4" t="s">
        <v>137</v>
      </c>
      <c r="D59" s="4" t="s">
        <v>243</v>
      </c>
      <c r="E59" s="21" t="s">
        <v>249</v>
      </c>
    </row>
    <row r="60" spans="1:5" ht="12.75">
      <c r="A60" s="17" t="s">
        <v>181</v>
      </c>
      <c r="B60" s="4" t="s">
        <v>98</v>
      </c>
      <c r="C60" s="4" t="s">
        <v>105</v>
      </c>
      <c r="D60" s="4" t="s">
        <v>186</v>
      </c>
      <c r="E60" s="21" t="s">
        <v>246</v>
      </c>
    </row>
    <row r="61" spans="1:5" ht="12.75">
      <c r="A61" s="17" t="s">
        <v>225</v>
      </c>
      <c r="B61" s="4" t="s">
        <v>100</v>
      </c>
      <c r="C61" s="4" t="s">
        <v>122</v>
      </c>
      <c r="D61" s="4" t="s">
        <v>59</v>
      </c>
      <c r="E61" s="21" t="s">
        <v>250</v>
      </c>
    </row>
    <row r="62" spans="1:5" ht="12.75">
      <c r="A62" s="17" t="s">
        <v>172</v>
      </c>
      <c r="B62" s="4" t="s">
        <v>100</v>
      </c>
      <c r="C62" s="4" t="s">
        <v>251</v>
      </c>
      <c r="D62" s="4" t="s">
        <v>48</v>
      </c>
      <c r="E62" s="21" t="s">
        <v>252</v>
      </c>
    </row>
    <row r="63" spans="1:5" ht="12.75">
      <c r="A63" s="17" t="s">
        <v>229</v>
      </c>
      <c r="B63" s="4" t="s">
        <v>100</v>
      </c>
      <c r="C63" s="4" t="s">
        <v>122</v>
      </c>
      <c r="D63" s="4" t="s">
        <v>233</v>
      </c>
      <c r="E63" s="21" t="s">
        <v>253</v>
      </c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</sheetData>
  <sheetProtection/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14:L14"/>
    <mergeCell ref="A18:L18"/>
    <mergeCell ref="A21:L21"/>
    <mergeCell ref="A25:L25"/>
    <mergeCell ref="A28:L28"/>
    <mergeCell ref="A36:L3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1">
      <selection activeCell="N10" sqref="N1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9.75390625" style="4" bestFit="1" customWidth="1"/>
    <col min="14" max="16384" width="9.125" style="3" customWidth="1"/>
  </cols>
  <sheetData>
    <row r="1" spans="1:13" s="2" customFormat="1" ht="28.5" customHeight="1">
      <c r="A1" s="53" t="s">
        <v>138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139</v>
      </c>
      <c r="B6" s="5" t="s">
        <v>140</v>
      </c>
      <c r="C6" s="5" t="s">
        <v>141</v>
      </c>
      <c r="D6" s="5" t="str">
        <f>"0,6201"</f>
        <v>0,6201</v>
      </c>
      <c r="E6" s="5" t="s">
        <v>53</v>
      </c>
      <c r="F6" s="5" t="s">
        <v>35</v>
      </c>
      <c r="G6" s="7" t="s">
        <v>56</v>
      </c>
      <c r="H6" s="6" t="s">
        <v>56</v>
      </c>
      <c r="I6" s="6" t="s">
        <v>47</v>
      </c>
      <c r="J6" s="7"/>
      <c r="K6" s="5" t="str">
        <f>"105,0"</f>
        <v>105,0</v>
      </c>
      <c r="L6" s="6" t="str">
        <f>"99,9366"</f>
        <v>99,9366</v>
      </c>
      <c r="M6" s="37" t="s">
        <v>427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4" sqref="E14:F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3" t="s">
        <v>124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125</v>
      </c>
      <c r="B6" s="5" t="s">
        <v>126</v>
      </c>
      <c r="C6" s="5" t="s">
        <v>127</v>
      </c>
      <c r="D6" s="5" t="str">
        <f>"0,6344"</f>
        <v>0,6344</v>
      </c>
      <c r="E6" s="5" t="s">
        <v>128</v>
      </c>
      <c r="F6" s="5" t="s">
        <v>35</v>
      </c>
      <c r="G6" s="6" t="s">
        <v>55</v>
      </c>
      <c r="H6" s="6" t="s">
        <v>27</v>
      </c>
      <c r="I6" s="7" t="s">
        <v>43</v>
      </c>
      <c r="J6" s="7"/>
      <c r="K6" s="5" t="str">
        <f>"92,5"</f>
        <v>92,5</v>
      </c>
      <c r="L6" s="6" t="str">
        <f>"58,6820"</f>
        <v>58,6820</v>
      </c>
      <c r="M6" s="5" t="s">
        <v>129</v>
      </c>
    </row>
    <row r="8" spans="1:12" ht="15">
      <c r="A8" s="59" t="s">
        <v>49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2.75">
      <c r="A9" s="5" t="s">
        <v>130</v>
      </c>
      <c r="B9" s="5" t="s">
        <v>131</v>
      </c>
      <c r="C9" s="5" t="s">
        <v>132</v>
      </c>
      <c r="D9" s="5" t="str">
        <f>"0,6022"</f>
        <v>0,6022</v>
      </c>
      <c r="E9" s="5" t="s">
        <v>53</v>
      </c>
      <c r="F9" s="5" t="s">
        <v>35</v>
      </c>
      <c r="G9" s="6" t="s">
        <v>47</v>
      </c>
      <c r="H9" s="6" t="s">
        <v>48</v>
      </c>
      <c r="I9" s="7" t="s">
        <v>81</v>
      </c>
      <c r="J9" s="7"/>
      <c r="K9" s="5" t="str">
        <f>"112,5"</f>
        <v>112,5</v>
      </c>
      <c r="L9" s="6" t="str">
        <f>"100,2663"</f>
        <v>100,2663</v>
      </c>
      <c r="M9" s="5" t="s">
        <v>117</v>
      </c>
    </row>
    <row r="11" spans="1:12" ht="15">
      <c r="A11" s="59" t="s">
        <v>133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ht="12.75">
      <c r="A12" s="5" t="s">
        <v>134</v>
      </c>
      <c r="B12" s="5" t="s">
        <v>135</v>
      </c>
      <c r="C12" s="5" t="s">
        <v>136</v>
      </c>
      <c r="D12" s="5" t="str">
        <f>"0,5399"</f>
        <v>0,5399</v>
      </c>
      <c r="E12" s="5" t="s">
        <v>53</v>
      </c>
      <c r="F12" s="5" t="s">
        <v>35</v>
      </c>
      <c r="G12" s="6" t="s">
        <v>81</v>
      </c>
      <c r="H12" s="6" t="s">
        <v>82</v>
      </c>
      <c r="I12" s="7" t="s">
        <v>58</v>
      </c>
      <c r="J12" s="7"/>
      <c r="K12" s="5" t="str">
        <f>"125,0"</f>
        <v>125,0</v>
      </c>
      <c r="L12" s="6" t="str">
        <f>"86,4515"</f>
        <v>86,4515</v>
      </c>
      <c r="M12" s="5" t="s">
        <v>117</v>
      </c>
    </row>
    <row r="14" spans="5:6" ht="12.75">
      <c r="E14" s="4" t="s">
        <v>88</v>
      </c>
      <c r="F14" s="4" t="s">
        <v>421</v>
      </c>
    </row>
    <row r="15" spans="5:6" ht="12.75">
      <c r="E15" s="4" t="s">
        <v>89</v>
      </c>
      <c r="F15" s="4" t="s">
        <v>422</v>
      </c>
    </row>
    <row r="16" spans="5:6" ht="12.75">
      <c r="E16" s="4" t="s">
        <v>90</v>
      </c>
      <c r="F16" s="4" t="s">
        <v>424</v>
      </c>
    </row>
    <row r="17" spans="5:6" ht="12.75">
      <c r="E17" s="4" t="s">
        <v>91</v>
      </c>
      <c r="F17" s="4" t="s">
        <v>426</v>
      </c>
    </row>
    <row r="18" spans="5:6" ht="12.75">
      <c r="E18" s="4" t="s">
        <v>91</v>
      </c>
      <c r="F18" s="4" t="s">
        <v>423</v>
      </c>
    </row>
    <row r="20" ht="15">
      <c r="E20" s="14"/>
    </row>
    <row r="22" spans="1:2" ht="18">
      <c r="A22" s="15"/>
      <c r="B22" s="15"/>
    </row>
    <row r="23" spans="1:2" ht="15">
      <c r="A23" s="16"/>
      <c r="B23" s="16"/>
    </row>
    <row r="24" spans="1:2" ht="14.25">
      <c r="A24" s="18"/>
      <c r="B24" s="19"/>
    </row>
    <row r="25" spans="1:5" ht="15">
      <c r="A25" s="1"/>
      <c r="B25" s="1"/>
      <c r="C25" s="1"/>
      <c r="D25" s="1"/>
      <c r="E25" s="1"/>
    </row>
    <row r="26" spans="1:5" ht="12.75">
      <c r="A26" s="17"/>
      <c r="E26" s="21"/>
    </row>
    <row r="28" spans="1:2" ht="14.25">
      <c r="A28" s="18"/>
      <c r="B28" s="19"/>
    </row>
    <row r="29" spans="1:5" ht="15">
      <c r="A29" s="1"/>
      <c r="B29" s="1"/>
      <c r="C29" s="1"/>
      <c r="D29" s="1"/>
      <c r="E29" s="1"/>
    </row>
    <row r="30" spans="1:5" ht="12.75">
      <c r="A30" s="17"/>
      <c r="E30" s="21"/>
    </row>
    <row r="31" spans="1:5" ht="12.75">
      <c r="A31" s="17"/>
      <c r="E31" s="21"/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3" t="s">
        <v>397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398</v>
      </c>
      <c r="E3" s="38" t="s">
        <v>4</v>
      </c>
      <c r="F3" s="38" t="s">
        <v>8</v>
      </c>
      <c r="G3" s="38" t="s">
        <v>399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400</v>
      </c>
      <c r="B6" s="5" t="s">
        <v>401</v>
      </c>
      <c r="C6" s="5" t="s">
        <v>402</v>
      </c>
      <c r="D6" s="5" t="str">
        <f>"0,7615"</f>
        <v>0,7615</v>
      </c>
      <c r="E6" s="5" t="s">
        <v>53</v>
      </c>
      <c r="F6" s="5" t="s">
        <v>35</v>
      </c>
      <c r="G6" s="6" t="s">
        <v>26</v>
      </c>
      <c r="H6" s="25" t="s">
        <v>403</v>
      </c>
      <c r="I6" s="5" t="str">
        <f>"2465,0"</f>
        <v>2465,0</v>
      </c>
      <c r="J6" s="6" t="str">
        <f>"1877,0975"</f>
        <v>1877,0975</v>
      </c>
      <c r="K6" s="5" t="s">
        <v>117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M12" sqref="M1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9.75390625" style="4" bestFit="1" customWidth="1"/>
    <col min="14" max="16384" width="9.125" style="3" customWidth="1"/>
  </cols>
  <sheetData>
    <row r="1" spans="1:13" s="2" customFormat="1" ht="28.5" customHeight="1">
      <c r="A1" s="53" t="s">
        <v>409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119</v>
      </c>
      <c r="B6" s="5" t="s">
        <v>120</v>
      </c>
      <c r="C6" s="5" t="s">
        <v>121</v>
      </c>
      <c r="D6" s="5" t="str">
        <f>"0,5815"</f>
        <v>0,5815</v>
      </c>
      <c r="E6" s="5" t="s">
        <v>53</v>
      </c>
      <c r="F6" s="5" t="s">
        <v>35</v>
      </c>
      <c r="G6" s="6" t="s">
        <v>56</v>
      </c>
      <c r="H6" s="6" t="s">
        <v>80</v>
      </c>
      <c r="I6" s="6" t="s">
        <v>86</v>
      </c>
      <c r="J6" s="7"/>
      <c r="K6" s="5" t="str">
        <f>"120,0"</f>
        <v>120,0</v>
      </c>
      <c r="L6" s="6" t="str">
        <f>"69,7800"</f>
        <v>69,7800</v>
      </c>
      <c r="M6" s="37" t="s">
        <v>427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C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4.00390625" style="4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11</v>
      </c>
      <c r="H3" s="38"/>
      <c r="I3" s="38"/>
      <c r="J3" s="38"/>
      <c r="K3" s="38" t="s">
        <v>12</v>
      </c>
      <c r="L3" s="38"/>
      <c r="M3" s="38"/>
      <c r="N3" s="38"/>
      <c r="O3" s="38" t="s">
        <v>13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29" customFormat="1" ht="14.25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39"/>
      <c r="T4" s="39"/>
      <c r="U4" s="41"/>
    </row>
    <row r="5" spans="1:20" ht="15">
      <c r="A5" s="42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5" t="s">
        <v>107</v>
      </c>
      <c r="B6" s="5" t="s">
        <v>108</v>
      </c>
      <c r="C6" s="5" t="s">
        <v>109</v>
      </c>
      <c r="D6" s="5" t="str">
        <f>"0,6430"</f>
        <v>0,6430</v>
      </c>
      <c r="E6" s="5" t="s">
        <v>110</v>
      </c>
      <c r="F6" s="5" t="s">
        <v>111</v>
      </c>
      <c r="G6" s="6" t="s">
        <v>112</v>
      </c>
      <c r="H6" s="7" t="s">
        <v>113</v>
      </c>
      <c r="I6" s="7" t="s">
        <v>113</v>
      </c>
      <c r="J6" s="7"/>
      <c r="K6" s="6" t="s">
        <v>81</v>
      </c>
      <c r="L6" s="6" t="s">
        <v>114</v>
      </c>
      <c r="M6" s="7" t="s">
        <v>82</v>
      </c>
      <c r="N6" s="7"/>
      <c r="O6" s="6" t="s">
        <v>115</v>
      </c>
      <c r="P6" s="6" t="s">
        <v>116</v>
      </c>
      <c r="Q6" s="7"/>
      <c r="R6" s="7"/>
      <c r="S6" s="5" t="str">
        <f>"540,0"</f>
        <v>540,0</v>
      </c>
      <c r="T6" s="6" t="str">
        <f>"461,8026"</f>
        <v>461,8026</v>
      </c>
      <c r="U6" s="5" t="s">
        <v>117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C1">
      <selection activeCell="S15" sqref="S15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9.00390625" style="4" bestFit="1" customWidth="1"/>
    <col min="22" max="16384" width="9.125" style="3" customWidth="1"/>
  </cols>
  <sheetData>
    <row r="1" spans="1:21" s="2" customFormat="1" ht="28.5" customHeight="1">
      <c r="A1" s="53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11</v>
      </c>
      <c r="H3" s="38"/>
      <c r="I3" s="38"/>
      <c r="J3" s="38"/>
      <c r="K3" s="38" t="s">
        <v>12</v>
      </c>
      <c r="L3" s="38"/>
      <c r="M3" s="38"/>
      <c r="N3" s="38"/>
      <c r="O3" s="38" t="s">
        <v>13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39"/>
      <c r="T4" s="39"/>
      <c r="U4" s="41"/>
    </row>
    <row r="5" spans="1:20" ht="15">
      <c r="A5" s="42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5" t="s">
        <v>15</v>
      </c>
      <c r="B6" s="5" t="s">
        <v>16</v>
      </c>
      <c r="C6" s="5" t="s">
        <v>17</v>
      </c>
      <c r="D6" s="5" t="str">
        <f>"0,9701"</f>
        <v>0,9701</v>
      </c>
      <c r="E6" s="5" t="s">
        <v>18</v>
      </c>
      <c r="F6" s="5" t="s">
        <v>19</v>
      </c>
      <c r="G6" s="6" t="s">
        <v>20</v>
      </c>
      <c r="H6" s="6" t="s">
        <v>21</v>
      </c>
      <c r="I6" s="7" t="s">
        <v>22</v>
      </c>
      <c r="J6" s="7"/>
      <c r="K6" s="7" t="s">
        <v>23</v>
      </c>
      <c r="L6" s="6" t="s">
        <v>24</v>
      </c>
      <c r="M6" s="7" t="s">
        <v>25</v>
      </c>
      <c r="N6" s="7"/>
      <c r="O6" s="6" t="s">
        <v>26</v>
      </c>
      <c r="P6" s="6" t="s">
        <v>27</v>
      </c>
      <c r="Q6" s="7" t="s">
        <v>28</v>
      </c>
      <c r="R6" s="7"/>
      <c r="S6" s="5" t="str">
        <f>"212,5"</f>
        <v>212,5</v>
      </c>
      <c r="T6" s="6" t="str">
        <f>"206,1462"</f>
        <v>206,1462</v>
      </c>
      <c r="U6" s="5" t="s">
        <v>29</v>
      </c>
    </row>
    <row r="8" spans="1:20" ht="15">
      <c r="A8" s="59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1" ht="12.75">
      <c r="A9" s="5" t="s">
        <v>31</v>
      </c>
      <c r="B9" s="5" t="s">
        <v>32</v>
      </c>
      <c r="C9" s="5" t="s">
        <v>33</v>
      </c>
      <c r="D9" s="5" t="str">
        <f>"0,8622"</f>
        <v>0,8622</v>
      </c>
      <c r="E9" s="5" t="s">
        <v>34</v>
      </c>
      <c r="F9" s="5" t="s">
        <v>35</v>
      </c>
      <c r="G9" s="6" t="s">
        <v>20</v>
      </c>
      <c r="H9" s="6" t="s">
        <v>36</v>
      </c>
      <c r="I9" s="6" t="s">
        <v>22</v>
      </c>
      <c r="J9" s="7"/>
      <c r="K9" s="6" t="s">
        <v>37</v>
      </c>
      <c r="L9" s="6" t="s">
        <v>23</v>
      </c>
      <c r="M9" s="7" t="s">
        <v>24</v>
      </c>
      <c r="N9" s="7"/>
      <c r="O9" s="6" t="s">
        <v>36</v>
      </c>
      <c r="P9" s="7" t="s">
        <v>38</v>
      </c>
      <c r="Q9" s="6" t="s">
        <v>38</v>
      </c>
      <c r="R9" s="7"/>
      <c r="S9" s="5" t="str">
        <f>"205,0"</f>
        <v>205,0</v>
      </c>
      <c r="T9" s="6" t="str">
        <f>"176,7408"</f>
        <v>176,7408</v>
      </c>
      <c r="U9" s="37" t="s">
        <v>428</v>
      </c>
    </row>
    <row r="11" spans="1:20" ht="15">
      <c r="A11" s="59" t="s">
        <v>39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1" ht="12.75">
      <c r="A12" s="5" t="s">
        <v>40</v>
      </c>
      <c r="B12" s="5" t="s">
        <v>41</v>
      </c>
      <c r="C12" s="5" t="s">
        <v>42</v>
      </c>
      <c r="D12" s="5" t="str">
        <f>"0,7908"</f>
        <v>0,7908</v>
      </c>
      <c r="E12" s="5" t="s">
        <v>18</v>
      </c>
      <c r="F12" s="5" t="s">
        <v>19</v>
      </c>
      <c r="G12" s="7" t="s">
        <v>43</v>
      </c>
      <c r="H12" s="6" t="s">
        <v>43</v>
      </c>
      <c r="I12" s="7" t="s">
        <v>44</v>
      </c>
      <c r="J12" s="7"/>
      <c r="K12" s="6" t="s">
        <v>45</v>
      </c>
      <c r="L12" s="7" t="s">
        <v>46</v>
      </c>
      <c r="M12" s="6" t="s">
        <v>46</v>
      </c>
      <c r="N12" s="7"/>
      <c r="O12" s="6" t="s">
        <v>47</v>
      </c>
      <c r="P12" s="7" t="s">
        <v>48</v>
      </c>
      <c r="Q12" s="7" t="s">
        <v>48</v>
      </c>
      <c r="R12" s="7"/>
      <c r="S12" s="5" t="str">
        <f>"262,5"</f>
        <v>262,5</v>
      </c>
      <c r="T12" s="6" t="str">
        <f>"207,5850"</f>
        <v>207,5850</v>
      </c>
      <c r="U12" s="5" t="s">
        <v>29</v>
      </c>
    </row>
    <row r="14" spans="1:20" ht="15">
      <c r="A14" s="59" t="s">
        <v>49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1" ht="12.75">
      <c r="A15" s="5" t="s">
        <v>50</v>
      </c>
      <c r="B15" s="5" t="s">
        <v>51</v>
      </c>
      <c r="C15" s="5" t="s">
        <v>52</v>
      </c>
      <c r="D15" s="5" t="str">
        <f>"0,6445"</f>
        <v>0,6445</v>
      </c>
      <c r="E15" s="5" t="s">
        <v>53</v>
      </c>
      <c r="F15" s="5" t="s">
        <v>54</v>
      </c>
      <c r="G15" s="7" t="s">
        <v>26</v>
      </c>
      <c r="H15" s="6" t="s">
        <v>55</v>
      </c>
      <c r="I15" s="6" t="s">
        <v>56</v>
      </c>
      <c r="J15" s="7"/>
      <c r="K15" s="6" t="s">
        <v>37</v>
      </c>
      <c r="L15" s="6" t="s">
        <v>24</v>
      </c>
      <c r="M15" s="7" t="s">
        <v>57</v>
      </c>
      <c r="N15" s="7"/>
      <c r="O15" s="6" t="s">
        <v>58</v>
      </c>
      <c r="P15" s="7" t="s">
        <v>59</v>
      </c>
      <c r="Q15" s="7" t="s">
        <v>59</v>
      </c>
      <c r="R15" s="7"/>
      <c r="S15" s="5" t="str">
        <f>"275,0"</f>
        <v>275,0</v>
      </c>
      <c r="T15" s="6" t="str">
        <f>"177,2375"</f>
        <v>177,2375</v>
      </c>
      <c r="U15" s="5" t="s">
        <v>60</v>
      </c>
    </row>
    <row r="17" spans="1:20" ht="15">
      <c r="A17" s="59" t="s">
        <v>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1" ht="12.75">
      <c r="A18" s="5" t="s">
        <v>62</v>
      </c>
      <c r="B18" s="5" t="s">
        <v>63</v>
      </c>
      <c r="C18" s="5" t="s">
        <v>64</v>
      </c>
      <c r="D18" s="5" t="str">
        <f>"0,7342"</f>
        <v>0,7342</v>
      </c>
      <c r="E18" s="5" t="s">
        <v>53</v>
      </c>
      <c r="F18" s="5" t="s">
        <v>54</v>
      </c>
      <c r="G18" s="7" t="s">
        <v>65</v>
      </c>
      <c r="H18" s="6" t="s">
        <v>65</v>
      </c>
      <c r="I18" s="7" t="s">
        <v>66</v>
      </c>
      <c r="J18" s="7"/>
      <c r="K18" s="6" t="s">
        <v>55</v>
      </c>
      <c r="L18" s="7" t="s">
        <v>43</v>
      </c>
      <c r="M18" s="7" t="s">
        <v>43</v>
      </c>
      <c r="N18" s="7"/>
      <c r="O18" s="6" t="s">
        <v>67</v>
      </c>
      <c r="P18" s="6" t="s">
        <v>68</v>
      </c>
      <c r="Q18" s="6" t="s">
        <v>69</v>
      </c>
      <c r="R18" s="7"/>
      <c r="S18" s="5" t="str">
        <f>"445,0"</f>
        <v>445,0</v>
      </c>
      <c r="T18" s="6" t="str">
        <f>"326,7190"</f>
        <v>326,7190</v>
      </c>
      <c r="U18" s="5" t="s">
        <v>60</v>
      </c>
    </row>
    <row r="20" spans="1:20" ht="15">
      <c r="A20" s="59" t="s">
        <v>70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1" ht="12.75">
      <c r="A21" s="5" t="s">
        <v>71</v>
      </c>
      <c r="B21" s="5" t="s">
        <v>72</v>
      </c>
      <c r="C21" s="5" t="s">
        <v>73</v>
      </c>
      <c r="D21" s="5" t="str">
        <f>"0,6433"</f>
        <v>0,6433</v>
      </c>
      <c r="E21" s="5" t="s">
        <v>18</v>
      </c>
      <c r="F21" s="5" t="s">
        <v>19</v>
      </c>
      <c r="G21" s="6" t="s">
        <v>55</v>
      </c>
      <c r="H21" s="6" t="s">
        <v>44</v>
      </c>
      <c r="I21" s="6" t="s">
        <v>28</v>
      </c>
      <c r="J21" s="7"/>
      <c r="K21" s="6" t="s">
        <v>21</v>
      </c>
      <c r="L21" s="6" t="s">
        <v>36</v>
      </c>
      <c r="M21" s="6" t="s">
        <v>38</v>
      </c>
      <c r="N21" s="7"/>
      <c r="O21" s="6" t="s">
        <v>74</v>
      </c>
      <c r="P21" s="6" t="s">
        <v>66</v>
      </c>
      <c r="Q21" s="6" t="s">
        <v>75</v>
      </c>
      <c r="R21" s="7"/>
      <c r="S21" s="5" t="str">
        <f>"345,0"</f>
        <v>345,0</v>
      </c>
      <c r="T21" s="6" t="str">
        <f>"272,9844"</f>
        <v>272,9844</v>
      </c>
      <c r="U21" s="5" t="s">
        <v>29</v>
      </c>
    </row>
    <row r="23" spans="1:20" ht="15">
      <c r="A23" s="59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1" ht="12.75">
      <c r="A24" s="8" t="s">
        <v>77</v>
      </c>
      <c r="B24" s="8" t="s">
        <v>78</v>
      </c>
      <c r="C24" s="8" t="s">
        <v>79</v>
      </c>
      <c r="D24" s="8" t="str">
        <f>"0,5897"</f>
        <v>0,5897</v>
      </c>
      <c r="E24" s="8" t="s">
        <v>53</v>
      </c>
      <c r="F24" s="8" t="s">
        <v>54</v>
      </c>
      <c r="G24" s="9" t="s">
        <v>43</v>
      </c>
      <c r="H24" s="9" t="s">
        <v>56</v>
      </c>
      <c r="I24" s="9" t="s">
        <v>80</v>
      </c>
      <c r="J24" s="10"/>
      <c r="K24" s="9" t="s">
        <v>45</v>
      </c>
      <c r="L24" s="9" t="s">
        <v>20</v>
      </c>
      <c r="M24" s="9" t="s">
        <v>38</v>
      </c>
      <c r="N24" s="10"/>
      <c r="O24" s="9" t="s">
        <v>81</v>
      </c>
      <c r="P24" s="9" t="s">
        <v>82</v>
      </c>
      <c r="Q24" s="9" t="s">
        <v>58</v>
      </c>
      <c r="R24" s="10"/>
      <c r="S24" s="8" t="str">
        <f>"320,0"</f>
        <v>320,0</v>
      </c>
      <c r="T24" s="9" t="str">
        <f>"200,0262"</f>
        <v>200,0262</v>
      </c>
      <c r="U24" s="8" t="s">
        <v>60</v>
      </c>
    </row>
    <row r="25" spans="1:21" ht="12.75">
      <c r="A25" s="11" t="s">
        <v>83</v>
      </c>
      <c r="B25" s="11" t="s">
        <v>84</v>
      </c>
      <c r="C25" s="11" t="s">
        <v>85</v>
      </c>
      <c r="D25" s="11" t="str">
        <f>"0,6000"</f>
        <v>0,6000</v>
      </c>
      <c r="E25" s="11" t="s">
        <v>18</v>
      </c>
      <c r="F25" s="11" t="s">
        <v>19</v>
      </c>
      <c r="G25" s="12" t="s">
        <v>81</v>
      </c>
      <c r="H25" s="12" t="s">
        <v>86</v>
      </c>
      <c r="I25" s="12" t="s">
        <v>87</v>
      </c>
      <c r="J25" s="13"/>
      <c r="K25" s="12" t="s">
        <v>20</v>
      </c>
      <c r="L25" s="13" t="s">
        <v>38</v>
      </c>
      <c r="M25" s="13" t="s">
        <v>38</v>
      </c>
      <c r="N25" s="13"/>
      <c r="O25" s="12" t="s">
        <v>74</v>
      </c>
      <c r="P25" s="13" t="s">
        <v>65</v>
      </c>
      <c r="Q25" s="13" t="s">
        <v>65</v>
      </c>
      <c r="R25" s="13"/>
      <c r="S25" s="11" t="str">
        <f>"337,5"</f>
        <v>337,5</v>
      </c>
      <c r="T25" s="12" t="str">
        <f>"202,5000"</f>
        <v>202,5000</v>
      </c>
      <c r="U25" s="11" t="s">
        <v>29</v>
      </c>
    </row>
    <row r="27" spans="5:6" ht="12.75">
      <c r="E27" s="4" t="s">
        <v>88</v>
      </c>
      <c r="F27" s="4" t="s">
        <v>421</v>
      </c>
    </row>
    <row r="28" spans="5:6" ht="12.75">
      <c r="E28" s="4" t="s">
        <v>89</v>
      </c>
      <c r="F28" s="4" t="s">
        <v>422</v>
      </c>
    </row>
    <row r="29" spans="5:6" ht="12.75">
      <c r="E29" s="4" t="s">
        <v>90</v>
      </c>
      <c r="F29" s="4" t="s">
        <v>424</v>
      </c>
    </row>
    <row r="30" spans="5:6" ht="12.75">
      <c r="E30" s="4" t="s">
        <v>91</v>
      </c>
      <c r="F30" s="4" t="s">
        <v>426</v>
      </c>
    </row>
    <row r="31" spans="5:6" ht="12.75">
      <c r="E31" s="4" t="s">
        <v>91</v>
      </c>
      <c r="F31" s="4" t="s">
        <v>423</v>
      </c>
    </row>
    <row r="33" ht="15">
      <c r="E33" s="14"/>
    </row>
    <row r="35" spans="1:2" ht="18">
      <c r="A35" s="15"/>
      <c r="B35" s="15"/>
    </row>
    <row r="36" spans="1:2" ht="15">
      <c r="A36" s="16"/>
      <c r="B36" s="16"/>
    </row>
    <row r="37" spans="1:2" ht="14.25">
      <c r="A37" s="18"/>
      <c r="B37" s="19"/>
    </row>
    <row r="38" spans="1:5" ht="15">
      <c r="A38" s="1"/>
      <c r="B38" s="1"/>
      <c r="C38" s="1"/>
      <c r="D38" s="1"/>
      <c r="E38" s="1"/>
    </row>
    <row r="39" spans="1:5" ht="12.75">
      <c r="A39" s="17"/>
      <c r="E39" s="21"/>
    </row>
    <row r="41" spans="1:2" ht="14.25">
      <c r="A41" s="18"/>
      <c r="B41" s="19"/>
    </row>
    <row r="42" spans="1:5" ht="15">
      <c r="A42" s="1"/>
      <c r="B42" s="1"/>
      <c r="C42" s="1"/>
      <c r="D42" s="1"/>
      <c r="E42" s="1"/>
    </row>
    <row r="43" spans="1:5" ht="12.75">
      <c r="A43" s="17"/>
      <c r="E43" s="21"/>
    </row>
    <row r="44" spans="1:5" ht="12.75">
      <c r="A44" s="17"/>
      <c r="E44" s="21"/>
    </row>
    <row r="45" spans="1:5" ht="12.75">
      <c r="A45" s="17"/>
      <c r="E45" s="21"/>
    </row>
    <row r="48" spans="1:2" ht="15">
      <c r="A48" s="16"/>
      <c r="B48" s="16"/>
    </row>
    <row r="49" spans="1:2" ht="14.25">
      <c r="A49" s="18"/>
      <c r="B49" s="19"/>
    </row>
    <row r="50" spans="1:5" ht="15">
      <c r="A50" s="1"/>
      <c r="B50" s="1"/>
      <c r="C50" s="1"/>
      <c r="D50" s="1"/>
      <c r="E50" s="1"/>
    </row>
    <row r="51" spans="1:5" ht="12.75">
      <c r="A51" s="17"/>
      <c r="E51" s="21"/>
    </row>
    <row r="52" spans="1:5" ht="12.75">
      <c r="A52" s="17"/>
      <c r="E52" s="21"/>
    </row>
    <row r="54" spans="1:2" ht="14.25">
      <c r="A54" s="18"/>
      <c r="B54" s="19"/>
    </row>
    <row r="55" spans="1:5" ht="15">
      <c r="A55" s="1"/>
      <c r="B55" s="1"/>
      <c r="C55" s="1"/>
      <c r="D55" s="1"/>
      <c r="E55" s="1"/>
    </row>
    <row r="56" spans="1:5" ht="12.75">
      <c r="A56" s="17"/>
      <c r="E56" s="21"/>
    </row>
    <row r="57" spans="1:5" ht="12.75">
      <c r="A57" s="17"/>
      <c r="E57" s="21"/>
    </row>
  </sheetData>
  <sheetProtection/>
  <mergeCells count="20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20:T20"/>
    <mergeCell ref="A23:T23"/>
    <mergeCell ref="A5:T5"/>
    <mergeCell ref="A8:T8"/>
    <mergeCell ref="A11:T11"/>
    <mergeCell ref="A14:T14"/>
    <mergeCell ref="A17:T17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C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2.37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23.75390625" style="4" bestFit="1" customWidth="1"/>
    <col min="18" max="16384" width="9.125" style="3" customWidth="1"/>
  </cols>
  <sheetData>
    <row r="1" spans="1:17" s="2" customFormat="1" ht="28.5" customHeight="1">
      <c r="A1" s="53" t="s">
        <v>395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396</v>
      </c>
      <c r="H3" s="38"/>
      <c r="I3" s="38"/>
      <c r="J3" s="38"/>
      <c r="K3" s="38" t="s">
        <v>393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9"/>
      <c r="P4" s="39"/>
      <c r="Q4" s="41"/>
    </row>
    <row r="5" spans="1:16" ht="15">
      <c r="A5" s="42" t="s">
        <v>147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5" t="s">
        <v>166</v>
      </c>
      <c r="B6" s="5" t="s">
        <v>167</v>
      </c>
      <c r="C6" s="5" t="s">
        <v>168</v>
      </c>
      <c r="D6" s="5" t="str">
        <f>"0,8809"</f>
        <v>0,8809</v>
      </c>
      <c r="E6" s="5" t="s">
        <v>34</v>
      </c>
      <c r="F6" s="5" t="s">
        <v>169</v>
      </c>
      <c r="G6" s="6" t="s">
        <v>24</v>
      </c>
      <c r="H6" s="6" t="s">
        <v>25</v>
      </c>
      <c r="I6" s="6" t="s">
        <v>57</v>
      </c>
      <c r="J6" s="7"/>
      <c r="K6" s="6" t="s">
        <v>394</v>
      </c>
      <c r="L6" s="6" t="s">
        <v>37</v>
      </c>
      <c r="M6" s="7" t="s">
        <v>24</v>
      </c>
      <c r="N6" s="7"/>
      <c r="O6" s="5" t="str">
        <f>"90,0"</f>
        <v>90,0</v>
      </c>
      <c r="P6" s="6" t="str">
        <f>"89,5824"</f>
        <v>89,5824</v>
      </c>
      <c r="Q6" s="5" t="s">
        <v>170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2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3.75390625" style="4" bestFit="1" customWidth="1"/>
    <col min="14" max="16384" width="9.125" style="3" customWidth="1"/>
  </cols>
  <sheetData>
    <row r="1" spans="1:13" s="2" customFormat="1" ht="28.5" customHeight="1">
      <c r="A1" s="53" t="s">
        <v>392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29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393</v>
      </c>
      <c r="H3" s="38"/>
      <c r="I3" s="38"/>
      <c r="J3" s="38"/>
      <c r="K3" s="38" t="s">
        <v>123</v>
      </c>
      <c r="L3" s="38" t="s">
        <v>3</v>
      </c>
      <c r="M3" s="40" t="s">
        <v>2</v>
      </c>
    </row>
    <row r="4" spans="1:13" s="29" customFormat="1" ht="21" customHeight="1" thickBot="1">
      <c r="A4" s="51"/>
      <c r="B4" s="39"/>
      <c r="C4" s="39"/>
      <c r="D4" s="39"/>
      <c r="E4" s="39"/>
      <c r="F4" s="39"/>
      <c r="G4" s="30">
        <v>1</v>
      </c>
      <c r="H4" s="30">
        <v>2</v>
      </c>
      <c r="I4" s="30">
        <v>3</v>
      </c>
      <c r="J4" s="30" t="s">
        <v>5</v>
      </c>
      <c r="K4" s="39"/>
      <c r="L4" s="39"/>
      <c r="M4" s="41"/>
    </row>
    <row r="5" spans="1:12" ht="15">
      <c r="A5" s="42" t="s">
        <v>147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5" t="s">
        <v>166</v>
      </c>
      <c r="B6" s="5" t="s">
        <v>167</v>
      </c>
      <c r="C6" s="5" t="s">
        <v>168</v>
      </c>
      <c r="D6" s="5" t="str">
        <f>"0,8809"</f>
        <v>0,8809</v>
      </c>
      <c r="E6" s="5" t="s">
        <v>34</v>
      </c>
      <c r="F6" s="5" t="s">
        <v>169</v>
      </c>
      <c r="G6" s="6" t="s">
        <v>394</v>
      </c>
      <c r="H6" s="6" t="s">
        <v>37</v>
      </c>
      <c r="I6" s="7" t="s">
        <v>24</v>
      </c>
      <c r="J6" s="7"/>
      <c r="K6" s="5" t="str">
        <f>"40,0"</f>
        <v>40,0</v>
      </c>
      <c r="L6" s="6" t="str">
        <f>"39,8144"</f>
        <v>39,8144</v>
      </c>
      <c r="M6" s="5" t="s">
        <v>170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53" t="s">
        <v>389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370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411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8" t="s">
        <v>291</v>
      </c>
      <c r="B6" s="8" t="s">
        <v>292</v>
      </c>
      <c r="C6" s="8" t="s">
        <v>293</v>
      </c>
      <c r="D6" s="8" t="str">
        <f>"1,0000"</f>
        <v>1,0000</v>
      </c>
      <c r="E6" s="8" t="s">
        <v>128</v>
      </c>
      <c r="F6" s="8" t="s">
        <v>35</v>
      </c>
      <c r="G6" s="9" t="s">
        <v>68</v>
      </c>
      <c r="H6" s="27" t="s">
        <v>390</v>
      </c>
      <c r="I6" s="8" t="str">
        <f>"3600,0"</f>
        <v>3600,0</v>
      </c>
      <c r="J6" s="9" t="str">
        <f>"44,3076"</f>
        <v>44,3076</v>
      </c>
      <c r="K6" s="8" t="s">
        <v>129</v>
      </c>
    </row>
    <row r="7" spans="1:11" ht="12.75">
      <c r="A7" s="11" t="s">
        <v>107</v>
      </c>
      <c r="B7" s="11" t="s">
        <v>108</v>
      </c>
      <c r="C7" s="11" t="s">
        <v>109</v>
      </c>
      <c r="D7" s="11" t="str">
        <f>"1,0000"</f>
        <v>1,0000</v>
      </c>
      <c r="E7" s="11" t="s">
        <v>110</v>
      </c>
      <c r="F7" s="11" t="s">
        <v>111</v>
      </c>
      <c r="G7" s="12" t="s">
        <v>68</v>
      </c>
      <c r="H7" s="28" t="s">
        <v>391</v>
      </c>
      <c r="I7" s="11" t="str">
        <f>"2000,0"</f>
        <v>2000,0</v>
      </c>
      <c r="J7" s="12" t="str">
        <f>"25,5427"</f>
        <v>25,5427</v>
      </c>
      <c r="K7" s="11" t="s">
        <v>117</v>
      </c>
    </row>
    <row r="9" spans="5:6" ht="12.75">
      <c r="E9" s="4" t="s">
        <v>88</v>
      </c>
      <c r="F9" s="4" t="s">
        <v>421</v>
      </c>
    </row>
    <row r="10" spans="5:6" ht="12.75">
      <c r="E10" s="4" t="s">
        <v>89</v>
      </c>
      <c r="F10" s="4" t="s">
        <v>422</v>
      </c>
    </row>
    <row r="11" spans="5:6" ht="12.75">
      <c r="E11" s="4" t="s">
        <v>90</v>
      </c>
      <c r="F11" s="4" t="s">
        <v>424</v>
      </c>
    </row>
    <row r="12" spans="5:6" ht="12.75">
      <c r="E12" s="4" t="s">
        <v>91</v>
      </c>
      <c r="F12" s="4" t="s">
        <v>426</v>
      </c>
    </row>
    <row r="13" spans="5:6" ht="12.75">
      <c r="E13" s="4" t="s">
        <v>91</v>
      </c>
      <c r="F13" s="4" t="s">
        <v>423</v>
      </c>
    </row>
    <row r="15" ht="15">
      <c r="E15" s="14"/>
    </row>
    <row r="17" spans="1:2" ht="18">
      <c r="A17" s="15"/>
      <c r="B17" s="15"/>
    </row>
    <row r="18" spans="1:2" ht="15">
      <c r="A18" s="16"/>
      <c r="B18" s="16"/>
    </row>
    <row r="19" spans="1:2" ht="14.25">
      <c r="A19" s="18"/>
      <c r="B19" s="19"/>
    </row>
    <row r="20" spans="1:5" ht="15">
      <c r="A20" s="1"/>
      <c r="B20" s="1"/>
      <c r="C20" s="1"/>
      <c r="D20" s="1"/>
      <c r="E20" s="1"/>
    </row>
    <row r="21" spans="1:5" ht="12.75">
      <c r="A21" s="17"/>
      <c r="E21" s="21"/>
    </row>
    <row r="23" spans="1:2" ht="14.25">
      <c r="A23" s="18"/>
      <c r="B23" s="19"/>
    </row>
    <row r="24" spans="1:5" ht="15">
      <c r="A24" s="1"/>
      <c r="B24" s="1"/>
      <c r="C24" s="1"/>
      <c r="D24" s="1"/>
      <c r="E24" s="1"/>
    </row>
    <row r="25" spans="1:5" ht="12.75">
      <c r="A25" s="17"/>
      <c r="E25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4.7539062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30.125" style="4" bestFit="1" customWidth="1"/>
    <col min="12" max="16384" width="9.125" style="3" customWidth="1"/>
  </cols>
  <sheetData>
    <row r="1" spans="1:11" s="2" customFormat="1" ht="28.5" customHeight="1">
      <c r="A1" s="53" t="s">
        <v>383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370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411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385</v>
      </c>
      <c r="B6" s="5" t="s">
        <v>386</v>
      </c>
      <c r="C6" s="5" t="s">
        <v>387</v>
      </c>
      <c r="D6" s="5" t="str">
        <f>"1,0000"</f>
        <v>1,0000</v>
      </c>
      <c r="E6" s="5" t="s">
        <v>18</v>
      </c>
      <c r="F6" s="5" t="s">
        <v>19</v>
      </c>
      <c r="G6" s="6" t="s">
        <v>65</v>
      </c>
      <c r="H6" s="25" t="s">
        <v>388</v>
      </c>
      <c r="I6" s="5" t="str">
        <f>"3000,0"</f>
        <v>3000,0</v>
      </c>
      <c r="J6" s="6" t="str">
        <f>"38,0469"</f>
        <v>38,0469</v>
      </c>
      <c r="K6" s="5" t="s">
        <v>76</v>
      </c>
    </row>
    <row r="7" spans="1:11" ht="12.75">
      <c r="A7" s="32"/>
      <c r="B7" s="32"/>
      <c r="C7" s="32"/>
      <c r="D7" s="32"/>
      <c r="E7" s="32"/>
      <c r="F7" s="32"/>
      <c r="G7" s="33"/>
      <c r="H7" s="34"/>
      <c r="I7" s="32"/>
      <c r="J7" s="33"/>
      <c r="K7" s="32"/>
    </row>
    <row r="8" spans="1:10" ht="15">
      <c r="A8" s="59" t="s">
        <v>49</v>
      </c>
      <c r="B8" s="60"/>
      <c r="C8" s="60"/>
      <c r="D8" s="60"/>
      <c r="E8" s="60"/>
      <c r="F8" s="60"/>
      <c r="G8" s="60"/>
      <c r="H8" s="60"/>
      <c r="I8" s="60"/>
      <c r="J8" s="60"/>
    </row>
    <row r="9" spans="1:11" ht="12.75">
      <c r="A9" s="5" t="s">
        <v>306</v>
      </c>
      <c r="B9" s="5" t="s">
        <v>307</v>
      </c>
      <c r="C9" s="5" t="s">
        <v>308</v>
      </c>
      <c r="D9" s="5" t="str">
        <f>"1,0000"</f>
        <v>1,0000</v>
      </c>
      <c r="E9" s="5" t="s">
        <v>110</v>
      </c>
      <c r="F9" s="5" t="s">
        <v>35</v>
      </c>
      <c r="G9" s="6" t="s">
        <v>65</v>
      </c>
      <c r="H9" s="25" t="s">
        <v>384</v>
      </c>
      <c r="I9" s="5" t="str">
        <f>"3600,0"</f>
        <v>3600,0</v>
      </c>
      <c r="J9" s="6" t="str">
        <f>"40,7701"</f>
        <v>40,7701</v>
      </c>
      <c r="K9" s="5" t="s">
        <v>146</v>
      </c>
    </row>
    <row r="11" spans="5:6" ht="12.75">
      <c r="E11" s="4" t="s">
        <v>88</v>
      </c>
      <c r="F11" s="4" t="s">
        <v>421</v>
      </c>
    </row>
    <row r="12" spans="5:6" ht="12.75">
      <c r="E12" s="4" t="s">
        <v>89</v>
      </c>
      <c r="F12" s="4" t="s">
        <v>422</v>
      </c>
    </row>
    <row r="13" spans="5:6" ht="12.75">
      <c r="E13" s="4" t="s">
        <v>90</v>
      </c>
      <c r="F13" s="4" t="s">
        <v>424</v>
      </c>
    </row>
    <row r="14" spans="5:6" ht="12.75">
      <c r="E14" s="4" t="s">
        <v>91</v>
      </c>
      <c r="F14" s="4" t="s">
        <v>426</v>
      </c>
    </row>
    <row r="15" spans="5:6" ht="12.75">
      <c r="E15" s="4" t="s">
        <v>91</v>
      </c>
      <c r="F15" s="4" t="s">
        <v>423</v>
      </c>
    </row>
    <row r="17" ht="15">
      <c r="E17" s="14"/>
    </row>
    <row r="19" spans="1:2" ht="18">
      <c r="A19" s="15"/>
      <c r="B19" s="15"/>
    </row>
    <row r="20" spans="1:2" ht="15">
      <c r="A20" s="16"/>
      <c r="B20" s="16"/>
    </row>
    <row r="21" spans="1:2" ht="14.25">
      <c r="A21" s="18"/>
      <c r="B21" s="19"/>
    </row>
    <row r="22" spans="1:5" ht="15">
      <c r="A22" s="1"/>
      <c r="B22" s="1"/>
      <c r="C22" s="1"/>
      <c r="D22" s="1"/>
      <c r="E22" s="1"/>
    </row>
    <row r="23" spans="1:5" ht="12.75">
      <c r="A23" s="17"/>
      <c r="E23" s="21"/>
    </row>
    <row r="25" spans="1:2" ht="14.25">
      <c r="A25" s="18"/>
      <c r="B25" s="19"/>
    </row>
    <row r="26" spans="1:5" ht="15">
      <c r="A26" s="1"/>
      <c r="B26" s="1"/>
      <c r="C26" s="1"/>
      <c r="D26" s="1"/>
      <c r="E26" s="1"/>
    </row>
    <row r="27" spans="1:5" ht="12.75">
      <c r="A27" s="17"/>
      <c r="E27" s="21"/>
    </row>
  </sheetData>
  <sheetProtection/>
  <mergeCells count="13">
    <mergeCell ref="A8:J8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53" t="s">
        <v>378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370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147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379</v>
      </c>
      <c r="B6" s="5" t="s">
        <v>380</v>
      </c>
      <c r="C6" s="5" t="s">
        <v>381</v>
      </c>
      <c r="D6" s="5" t="str">
        <f>"1,0000"</f>
        <v>1,0000</v>
      </c>
      <c r="E6" s="5" t="s">
        <v>128</v>
      </c>
      <c r="F6" s="5" t="s">
        <v>35</v>
      </c>
      <c r="G6" s="6" t="s">
        <v>21</v>
      </c>
      <c r="H6" s="25" t="s">
        <v>382</v>
      </c>
      <c r="I6" s="5" t="str">
        <f>"1875,0"</f>
        <v>1875,0</v>
      </c>
      <c r="J6" s="6" t="str">
        <f>"33,7533"</f>
        <v>33,7533</v>
      </c>
      <c r="K6" s="5" t="s">
        <v>129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30.125" style="4" bestFit="1" customWidth="1"/>
    <col min="12" max="16384" width="9.125" style="3" customWidth="1"/>
  </cols>
  <sheetData>
    <row r="1" spans="1:11" s="2" customFormat="1" ht="28.5" customHeight="1">
      <c r="A1" s="53" t="s">
        <v>369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370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14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8" t="s">
        <v>371</v>
      </c>
      <c r="B6" s="8" t="s">
        <v>372</v>
      </c>
      <c r="C6" s="8" t="s">
        <v>373</v>
      </c>
      <c r="D6" s="8" t="str">
        <f>"1,0000"</f>
        <v>1,0000</v>
      </c>
      <c r="E6" s="8" t="s">
        <v>110</v>
      </c>
      <c r="F6" s="8" t="s">
        <v>35</v>
      </c>
      <c r="G6" s="9" t="s">
        <v>354</v>
      </c>
      <c r="H6" s="27" t="s">
        <v>57</v>
      </c>
      <c r="I6" s="8" t="str">
        <f>"2750,0"</f>
        <v>2750,0</v>
      </c>
      <c r="J6" s="9" t="str">
        <f>"57,7731"</f>
        <v>57,7731</v>
      </c>
      <c r="K6" s="8" t="s">
        <v>146</v>
      </c>
    </row>
    <row r="7" spans="1:11" ht="12.75">
      <c r="A7" s="11" t="s">
        <v>412</v>
      </c>
      <c r="B7" s="11" t="s">
        <v>377</v>
      </c>
      <c r="C7" s="11" t="s">
        <v>145</v>
      </c>
      <c r="D7" s="11" t="str">
        <f>"1,0000"</f>
        <v>1,0000</v>
      </c>
      <c r="E7" s="11" t="s">
        <v>110</v>
      </c>
      <c r="F7" s="11" t="s">
        <v>35</v>
      </c>
      <c r="G7" s="12" t="s">
        <v>354</v>
      </c>
      <c r="H7" s="28" t="s">
        <v>354</v>
      </c>
      <c r="I7" s="11" t="str">
        <f>"3025,0"</f>
        <v>3025,0</v>
      </c>
      <c r="J7" s="12" t="str">
        <f>"58,6240"</f>
        <v>58,6240</v>
      </c>
      <c r="K7" s="11" t="s">
        <v>146</v>
      </c>
    </row>
    <row r="9" spans="1:10" ht="15">
      <c r="A9" s="61" t="s">
        <v>410</v>
      </c>
      <c r="B9" s="62"/>
      <c r="C9" s="62"/>
      <c r="D9" s="62"/>
      <c r="E9" s="62"/>
      <c r="F9" s="62"/>
      <c r="G9" s="62"/>
      <c r="H9" s="62"/>
      <c r="I9" s="62"/>
      <c r="J9" s="62"/>
    </row>
    <row r="10" spans="1:11" ht="12.75">
      <c r="A10" s="5" t="s">
        <v>374</v>
      </c>
      <c r="B10" s="5" t="s">
        <v>375</v>
      </c>
      <c r="C10" s="5" t="s">
        <v>376</v>
      </c>
      <c r="D10" s="5" t="str">
        <f>"1,0000"</f>
        <v>1,0000</v>
      </c>
      <c r="E10" s="5" t="s">
        <v>110</v>
      </c>
      <c r="F10" s="5" t="s">
        <v>35</v>
      </c>
      <c r="G10" s="6" t="s">
        <v>354</v>
      </c>
      <c r="H10" s="25" t="s">
        <v>20</v>
      </c>
      <c r="I10" s="5" t="str">
        <f>"3850,0"</f>
        <v>3850,0</v>
      </c>
      <c r="J10" s="6" t="str">
        <f>"57,0793"</f>
        <v>57,0793</v>
      </c>
      <c r="K10" s="5" t="s">
        <v>146</v>
      </c>
    </row>
    <row r="12" spans="5:6" ht="12.75">
      <c r="E12" s="4" t="s">
        <v>88</v>
      </c>
      <c r="F12" s="4" t="s">
        <v>421</v>
      </c>
    </row>
    <row r="13" spans="5:6" ht="12.75">
      <c r="E13" s="4" t="s">
        <v>89</v>
      </c>
      <c r="F13" s="4" t="s">
        <v>422</v>
      </c>
    </row>
    <row r="14" spans="5:6" ht="12.75">
      <c r="E14" s="4" t="s">
        <v>90</v>
      </c>
      <c r="F14" s="4" t="s">
        <v>424</v>
      </c>
    </row>
    <row r="15" spans="5:6" ht="12.75">
      <c r="E15" s="4" t="s">
        <v>91</v>
      </c>
      <c r="F15" s="4" t="s">
        <v>426</v>
      </c>
    </row>
    <row r="16" spans="5:6" ht="12.75">
      <c r="E16" s="4" t="s">
        <v>91</v>
      </c>
      <c r="F16" s="4" t="s">
        <v>423</v>
      </c>
    </row>
    <row r="18" ht="15">
      <c r="E18" s="14"/>
    </row>
    <row r="20" spans="1:2" ht="18">
      <c r="A20" s="15"/>
      <c r="B20" s="15"/>
    </row>
    <row r="21" spans="1:2" ht="15">
      <c r="A21" s="16"/>
      <c r="B21" s="16"/>
    </row>
    <row r="22" spans="1:2" ht="14.25">
      <c r="A22" s="18"/>
      <c r="B22" s="19"/>
    </row>
    <row r="23" spans="1:5" ht="15">
      <c r="A23" s="1"/>
      <c r="B23" s="1"/>
      <c r="C23" s="1"/>
      <c r="D23" s="1"/>
      <c r="E23" s="1"/>
    </row>
    <row r="24" spans="1:5" ht="12.75">
      <c r="A24" s="17"/>
      <c r="E24" s="21"/>
    </row>
    <row r="26" spans="1:2" ht="14.25">
      <c r="A26" s="18"/>
      <c r="B26" s="19"/>
    </row>
    <row r="27" spans="1:5" ht="15">
      <c r="A27" s="1"/>
      <c r="B27" s="1"/>
      <c r="C27" s="1"/>
      <c r="D27" s="1"/>
      <c r="E27" s="1"/>
    </row>
    <row r="28" spans="1:5" ht="12.75">
      <c r="A28" s="17"/>
      <c r="E28" s="21"/>
    </row>
    <row r="29" spans="1:5" ht="12.75">
      <c r="A29" s="17"/>
      <c r="E29" s="21"/>
    </row>
  </sheetData>
  <sheetProtection/>
  <mergeCells count="13">
    <mergeCell ref="A9:J9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4.7539062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17.875" style="4" bestFit="1" customWidth="1"/>
    <col min="12" max="16384" width="9.125" style="3" customWidth="1"/>
  </cols>
  <sheetData>
    <row r="1" spans="1:11" s="2" customFormat="1" ht="28.5" customHeight="1">
      <c r="A1" s="53" t="s">
        <v>366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9" customFormat="1" ht="12.75" customHeight="1">
      <c r="A3" s="50" t="s">
        <v>0</v>
      </c>
      <c r="B3" s="52" t="s">
        <v>6</v>
      </c>
      <c r="C3" s="52" t="s">
        <v>7</v>
      </c>
      <c r="D3" s="38" t="s">
        <v>357</v>
      </c>
      <c r="E3" s="38" t="s">
        <v>4</v>
      </c>
      <c r="F3" s="38" t="s">
        <v>8</v>
      </c>
      <c r="G3" s="38" t="s">
        <v>358</v>
      </c>
      <c r="H3" s="38"/>
      <c r="I3" s="38" t="s">
        <v>365</v>
      </c>
      <c r="J3" s="38" t="s">
        <v>3</v>
      </c>
      <c r="K3" s="40" t="s">
        <v>2</v>
      </c>
    </row>
    <row r="4" spans="1:11" s="29" customFormat="1" ht="21" customHeight="1" thickBot="1">
      <c r="A4" s="51"/>
      <c r="B4" s="39"/>
      <c r="C4" s="39"/>
      <c r="D4" s="39"/>
      <c r="E4" s="39"/>
      <c r="F4" s="39"/>
      <c r="G4" s="30" t="s">
        <v>363</v>
      </c>
      <c r="H4" s="31" t="s">
        <v>364</v>
      </c>
      <c r="I4" s="39"/>
      <c r="J4" s="39"/>
      <c r="K4" s="41"/>
    </row>
    <row r="5" spans="1:10" ht="15">
      <c r="A5" s="42" t="s">
        <v>410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5" t="s">
        <v>159</v>
      </c>
      <c r="B6" s="5" t="s">
        <v>160</v>
      </c>
      <c r="C6" s="5" t="s">
        <v>161</v>
      </c>
      <c r="D6" s="5" t="str">
        <f>"1,0000"</f>
        <v>1,0000</v>
      </c>
      <c r="E6" s="5" t="s">
        <v>18</v>
      </c>
      <c r="F6" s="5" t="s">
        <v>19</v>
      </c>
      <c r="G6" s="6" t="s">
        <v>367</v>
      </c>
      <c r="H6" s="25" t="s">
        <v>368</v>
      </c>
      <c r="I6" s="5" t="str">
        <f>"1260,0"</f>
        <v>1260,0</v>
      </c>
      <c r="J6" s="6" t="str">
        <f>"19,4895"</f>
        <v>19,4895</v>
      </c>
      <c r="K6" s="5" t="s">
        <v>76</v>
      </c>
    </row>
    <row r="8" spans="5:6" ht="12.75">
      <c r="E8" s="4" t="s">
        <v>88</v>
      </c>
      <c r="F8" s="4" t="s">
        <v>421</v>
      </c>
    </row>
    <row r="9" spans="5:6" ht="12.75">
      <c r="E9" s="4" t="s">
        <v>89</v>
      </c>
      <c r="F9" s="4" t="s">
        <v>422</v>
      </c>
    </row>
    <row r="10" spans="5:6" ht="12.75">
      <c r="E10" s="4" t="s">
        <v>90</v>
      </c>
      <c r="F10" s="4" t="s">
        <v>424</v>
      </c>
    </row>
    <row r="11" spans="5:6" ht="12.75">
      <c r="E11" s="4" t="s">
        <v>91</v>
      </c>
      <c r="F11" s="4" t="s">
        <v>426</v>
      </c>
    </row>
    <row r="12" spans="5:6" ht="12.75">
      <c r="E12" s="4" t="s">
        <v>91</v>
      </c>
      <c r="F12" s="4" t="s">
        <v>423</v>
      </c>
    </row>
    <row r="14" ht="15">
      <c r="E14" s="14"/>
    </row>
    <row r="16" spans="1:2" ht="18">
      <c r="A16" s="15"/>
      <c r="B16" s="15"/>
    </row>
    <row r="17" spans="1:2" ht="15">
      <c r="A17" s="16"/>
      <c r="B17" s="16"/>
    </row>
    <row r="18" spans="1:2" ht="14.25">
      <c r="A18" s="18"/>
      <c r="B18" s="19"/>
    </row>
    <row r="19" spans="1:5" ht="15">
      <c r="A19" s="1"/>
      <c r="B19" s="1"/>
      <c r="C19" s="1"/>
      <c r="D19" s="1"/>
      <c r="E19" s="1"/>
    </row>
    <row r="20" spans="1:5" ht="12.75">
      <c r="A20" s="17"/>
      <c r="E20" s="21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2019-11-20T16:04:12Z</dcterms:modified>
  <cp:category/>
  <cp:version/>
  <cp:contentType/>
  <cp:contentStatus/>
</cp:coreProperties>
</file>